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 1\Desktop\FBI Case File\"/>
    </mc:Choice>
  </mc:AlternateContent>
  <bookViews>
    <workbookView xWindow="240" yWindow="132" windowWidth="15600" windowHeight="7968" tabRatio="804" firstSheet="3" activeTab="25"/>
  </bookViews>
  <sheets>
    <sheet name="Cover" sheetId="58" r:id="rId1"/>
    <sheet name="Foreward" sheetId="47" r:id="rId2"/>
    <sheet name="Index" sheetId="31" r:id="rId3"/>
    <sheet name="1" sheetId="21" r:id="rId4"/>
    <sheet name="2" sheetId="34" r:id="rId5"/>
    <sheet name="3" sheetId="4" r:id="rId6"/>
    <sheet name="4" sheetId="1" r:id="rId7"/>
    <sheet name="5" sheetId="38" r:id="rId8"/>
    <sheet name="6" sheetId="48" r:id="rId9"/>
    <sheet name="7" sheetId="36" r:id="rId10"/>
    <sheet name="8" sheetId="53" r:id="rId11"/>
    <sheet name="9" sheetId="28" r:id="rId12"/>
    <sheet name="10" sheetId="54" r:id="rId13"/>
    <sheet name="11" sheetId="45" r:id="rId14"/>
    <sheet name="12" sheetId="55" r:id="rId15"/>
    <sheet name="13" sheetId="42" r:id="rId16"/>
    <sheet name="14" sheetId="20" r:id="rId17"/>
    <sheet name="15" sheetId="12" r:id="rId18"/>
    <sheet name="16" sheetId="43" r:id="rId19"/>
    <sheet name="17" sheetId="50" r:id="rId20"/>
    <sheet name="18" sheetId="46" r:id="rId21"/>
    <sheet name="19" sheetId="62" r:id="rId22"/>
    <sheet name="20" sheetId="61" r:id="rId23"/>
    <sheet name="21" sheetId="56" r:id="rId24"/>
    <sheet name="22" sheetId="57" r:id="rId25"/>
    <sheet name="23" sheetId="63" r:id="rId26"/>
  </sheets>
  <calcPr calcId="152511"/>
</workbook>
</file>

<file path=xl/calcChain.xml><?xml version="1.0" encoding="utf-8"?>
<calcChain xmlns="http://schemas.openxmlformats.org/spreadsheetml/2006/main">
  <c r="A14" i="31" l="1"/>
  <c r="A12" i="63" l="1"/>
  <c r="A13" i="63"/>
  <c r="A11" i="63"/>
  <c r="A10" i="63"/>
  <c r="B21" i="48"/>
  <c r="C21" i="48"/>
  <c r="B58" i="50"/>
  <c r="F31" i="57"/>
  <c r="F32" i="57"/>
  <c r="G32" i="57"/>
  <c r="G27" i="57"/>
  <c r="G28" i="57"/>
  <c r="G29" i="57"/>
  <c r="G26" i="57"/>
  <c r="F27" i="57"/>
  <c r="F28" i="57"/>
  <c r="F29" i="57"/>
  <c r="F26" i="57"/>
  <c r="F25" i="57"/>
  <c r="G23" i="57"/>
  <c r="G22" i="57"/>
  <c r="G14" i="57"/>
  <c r="H14" i="57"/>
  <c r="I14" i="57"/>
  <c r="J14" i="57"/>
  <c r="G15" i="57"/>
  <c r="H15" i="57"/>
  <c r="I15" i="57"/>
  <c r="J15" i="57"/>
  <c r="G16" i="57"/>
  <c r="H16" i="57"/>
  <c r="I16" i="57"/>
  <c r="J16" i="57"/>
  <c r="G17" i="57"/>
  <c r="H17" i="57"/>
  <c r="I17" i="57"/>
  <c r="J17" i="57"/>
  <c r="G18" i="57"/>
  <c r="H18" i="57"/>
  <c r="I18" i="57"/>
  <c r="J18" i="57"/>
  <c r="G19" i="57"/>
  <c r="H19" i="57"/>
  <c r="I19" i="57"/>
  <c r="J19" i="57"/>
  <c r="J13" i="57"/>
  <c r="I13" i="57"/>
  <c r="H13" i="57"/>
  <c r="G13" i="57"/>
  <c r="F14" i="57"/>
  <c r="F15" i="57"/>
  <c r="F16" i="57"/>
  <c r="F17" i="57"/>
  <c r="F18" i="57"/>
  <c r="F19" i="57"/>
  <c r="F13" i="57"/>
  <c r="I5" i="57"/>
  <c r="J5" i="57"/>
  <c r="I6" i="57"/>
  <c r="J6" i="57"/>
  <c r="I7" i="57"/>
  <c r="J7" i="57"/>
  <c r="I8" i="57"/>
  <c r="J8" i="57"/>
  <c r="I9" i="57"/>
  <c r="J9" i="57"/>
  <c r="I10" i="57"/>
  <c r="J10" i="57"/>
  <c r="J4" i="57"/>
  <c r="I4" i="57"/>
  <c r="H5" i="57"/>
  <c r="H6" i="57"/>
  <c r="H7" i="57"/>
  <c r="H8" i="57"/>
  <c r="H9" i="57"/>
  <c r="H10" i="57"/>
  <c r="H4" i="57"/>
  <c r="G5" i="57"/>
  <c r="G6" i="57"/>
  <c r="G7" i="57"/>
  <c r="G8" i="57"/>
  <c r="G9" i="57"/>
  <c r="G10" i="57"/>
  <c r="G4" i="57"/>
  <c r="F5" i="57"/>
  <c r="F6" i="57"/>
  <c r="F7" i="57"/>
  <c r="F8" i="57"/>
  <c r="F9" i="57"/>
  <c r="F10" i="57"/>
  <c r="F4" i="57"/>
  <c r="D20" i="31"/>
  <c r="A19" i="48"/>
  <c r="A31" i="57" s="1"/>
  <c r="B27" i="45"/>
  <c r="C27" i="45"/>
  <c r="D27" i="45"/>
  <c r="C28" i="57"/>
  <c r="A28" i="57"/>
  <c r="C29" i="57"/>
  <c r="A29" i="57"/>
  <c r="D14" i="57"/>
  <c r="D16" i="57"/>
  <c r="D17" i="57"/>
  <c r="D19" i="57"/>
  <c r="D20" i="57"/>
  <c r="D22" i="57"/>
  <c r="D23" i="57"/>
  <c r="D24" i="57"/>
  <c r="D25" i="57"/>
  <c r="D13" i="57"/>
  <c r="C14" i="57"/>
  <c r="C16" i="57"/>
  <c r="C17" i="57"/>
  <c r="C19" i="57"/>
  <c r="C20" i="57"/>
  <c r="C22" i="57"/>
  <c r="C23" i="57"/>
  <c r="C24" i="57"/>
  <c r="C25" i="57"/>
  <c r="C13" i="57"/>
  <c r="B23" i="57"/>
  <c r="A33" i="57" s="1"/>
  <c r="B22" i="57"/>
  <c r="A32" i="57" s="1"/>
  <c r="B20" i="57"/>
  <c r="B19" i="57"/>
  <c r="B17" i="57"/>
  <c r="B16" i="57"/>
  <c r="A14" i="57"/>
  <c r="A15" i="57"/>
  <c r="A18" i="57"/>
  <c r="A21" i="57"/>
  <c r="A24" i="57"/>
  <c r="A25" i="57"/>
  <c r="A13" i="57"/>
  <c r="A10" i="57"/>
  <c r="A9" i="57"/>
  <c r="A8" i="57"/>
  <c r="C7" i="57"/>
  <c r="A7" i="57"/>
  <c r="A6" i="57"/>
  <c r="C5" i="57"/>
  <c r="A5" i="57"/>
  <c r="C4" i="57"/>
  <c r="A4" i="57"/>
  <c r="A5" i="31"/>
  <c r="A4" i="31"/>
  <c r="B6" i="21"/>
  <c r="D6" i="21"/>
  <c r="H6" i="21"/>
  <c r="J6" i="21"/>
  <c r="B10" i="21"/>
  <c r="D10" i="21"/>
  <c r="H10" i="21"/>
  <c r="J10" i="21"/>
  <c r="B11" i="21"/>
  <c r="D11" i="21"/>
  <c r="H11" i="21"/>
  <c r="J11" i="21"/>
  <c r="B12" i="21"/>
  <c r="D12" i="21"/>
  <c r="H12" i="21"/>
  <c r="J12" i="21"/>
  <c r="B13" i="21"/>
  <c r="D13" i="21"/>
  <c r="H13" i="21"/>
  <c r="J13" i="21"/>
  <c r="B14" i="21"/>
  <c r="D14" i="21"/>
  <c r="H14" i="21"/>
  <c r="J14" i="21"/>
  <c r="C15" i="21"/>
  <c r="E21" i="48" s="1"/>
  <c r="E15" i="21"/>
  <c r="I15" i="21"/>
  <c r="E22" i="48" s="1"/>
  <c r="K15" i="21"/>
  <c r="C13" i="34" s="1"/>
  <c r="B19" i="21"/>
  <c r="D19" i="21"/>
  <c r="H19" i="21"/>
  <c r="J19" i="21"/>
  <c r="B20" i="21"/>
  <c r="D20" i="21"/>
  <c r="H20" i="21"/>
  <c r="J20" i="21"/>
  <c r="B21" i="21"/>
  <c r="D21" i="21"/>
  <c r="H21" i="21"/>
  <c r="J21" i="21"/>
  <c r="C22" i="21"/>
  <c r="E22" i="21"/>
  <c r="B20" i="34" s="1"/>
  <c r="I22" i="21"/>
  <c r="F22" i="48" s="1"/>
  <c r="K22" i="21"/>
  <c r="C9" i="57" s="1"/>
  <c r="C19" i="34"/>
  <c r="C18" i="34"/>
  <c r="C17" i="34"/>
  <c r="C12" i="34"/>
  <c r="C11" i="34"/>
  <c r="C10" i="34"/>
  <c r="C9" i="34"/>
  <c r="C8" i="34"/>
  <c r="B9" i="34"/>
  <c r="B10" i="34"/>
  <c r="B11" i="34"/>
  <c r="B12" i="34"/>
  <c r="B13" i="34"/>
  <c r="B8" i="34"/>
  <c r="B18" i="34"/>
  <c r="B19" i="34"/>
  <c r="B17" i="34"/>
  <c r="D14" i="31"/>
  <c r="B15" i="62"/>
  <c r="B19" i="62" s="1"/>
  <c r="D17" i="31"/>
  <c r="C8" i="61"/>
  <c r="D8" i="61"/>
  <c r="E8" i="61"/>
  <c r="B8" i="61"/>
  <c r="C5" i="61"/>
  <c r="B5" i="61"/>
  <c r="B48" i="50"/>
  <c r="C48" i="50"/>
  <c r="D48" i="50"/>
  <c r="E48" i="50"/>
  <c r="D12" i="31"/>
  <c r="B55" i="50"/>
  <c r="C55" i="50"/>
  <c r="D55" i="50"/>
  <c r="E55" i="50"/>
  <c r="B54" i="50"/>
  <c r="C54" i="50"/>
  <c r="D54" i="50"/>
  <c r="E54" i="50"/>
  <c r="B53" i="50"/>
  <c r="C53" i="50"/>
  <c r="D53" i="50"/>
  <c r="E53" i="50"/>
  <c r="B52" i="50"/>
  <c r="C52" i="50"/>
  <c r="D52" i="50"/>
  <c r="E52" i="50"/>
  <c r="B51" i="50"/>
  <c r="C51" i="50"/>
  <c r="D51" i="50"/>
  <c r="E51" i="50"/>
  <c r="B42" i="50"/>
  <c r="C42" i="50"/>
  <c r="D42" i="50"/>
  <c r="E42" i="50"/>
  <c r="B41" i="50"/>
  <c r="C41" i="50"/>
  <c r="D41" i="50"/>
  <c r="E41" i="50"/>
  <c r="B40" i="50"/>
  <c r="C40" i="50"/>
  <c r="D40" i="50"/>
  <c r="E40" i="50"/>
  <c r="B39" i="50"/>
  <c r="C39" i="50"/>
  <c r="D39" i="50"/>
  <c r="E39" i="50"/>
  <c r="B38" i="50"/>
  <c r="C38" i="50"/>
  <c r="D38" i="50"/>
  <c r="E38" i="50"/>
  <c r="B37" i="50"/>
  <c r="C37" i="50"/>
  <c r="D37" i="50"/>
  <c r="E37" i="50"/>
  <c r="B34" i="50"/>
  <c r="B9" i="61" s="1"/>
  <c r="C34" i="50"/>
  <c r="C9" i="61" s="1"/>
  <c r="D34" i="50"/>
  <c r="D9" i="61" s="1"/>
  <c r="E34" i="50"/>
  <c r="B33" i="50"/>
  <c r="C33" i="50"/>
  <c r="D33" i="50"/>
  <c r="E33" i="50"/>
  <c r="B32" i="50"/>
  <c r="C32" i="50"/>
  <c r="D32" i="50"/>
  <c r="E32" i="50"/>
  <c r="B31" i="50"/>
  <c r="C31" i="50"/>
  <c r="D31" i="50"/>
  <c r="E31" i="50"/>
  <c r="B30" i="50"/>
  <c r="C30" i="50"/>
  <c r="D30" i="50"/>
  <c r="E30" i="50"/>
  <c r="B29" i="50"/>
  <c r="C29" i="50"/>
  <c r="D29" i="50"/>
  <c r="E29" i="50"/>
  <c r="B28" i="50"/>
  <c r="C28" i="50"/>
  <c r="D28" i="50"/>
  <c r="E28" i="50"/>
  <c r="B25" i="50"/>
  <c r="C25" i="50"/>
  <c r="D25" i="50"/>
  <c r="E25" i="50"/>
  <c r="B24" i="50"/>
  <c r="C24" i="50"/>
  <c r="D24" i="50"/>
  <c r="E24" i="50"/>
  <c r="B23" i="50"/>
  <c r="C23" i="50"/>
  <c r="D23" i="50"/>
  <c r="E23" i="50"/>
  <c r="B22" i="50"/>
  <c r="C22" i="50"/>
  <c r="D22" i="50"/>
  <c r="E22" i="50"/>
  <c r="B21" i="50"/>
  <c r="C21" i="50"/>
  <c r="D21" i="50"/>
  <c r="E21" i="50"/>
  <c r="B17" i="50"/>
  <c r="C17" i="50"/>
  <c r="D17" i="50"/>
  <c r="E17" i="50"/>
  <c r="B16" i="50"/>
  <c r="C16" i="50"/>
  <c r="D16" i="50"/>
  <c r="B15" i="50"/>
  <c r="C15" i="50"/>
  <c r="D15" i="50"/>
  <c r="E15" i="50"/>
  <c r="B14" i="50"/>
  <c r="C14" i="50"/>
  <c r="D14" i="50"/>
  <c r="E14" i="50"/>
  <c r="B13" i="50"/>
  <c r="C13" i="50"/>
  <c r="D13" i="50"/>
  <c r="E13" i="50"/>
  <c r="B12" i="50"/>
  <c r="C12" i="50"/>
  <c r="D12" i="50"/>
  <c r="E12" i="50"/>
  <c r="E7" i="50"/>
  <c r="D7" i="50"/>
  <c r="C7" i="50"/>
  <c r="B7" i="50"/>
  <c r="E8" i="50"/>
  <c r="D8" i="50"/>
  <c r="C8" i="50"/>
  <c r="B8" i="50"/>
  <c r="C9" i="50"/>
  <c r="B9" i="50"/>
  <c r="D6" i="50"/>
  <c r="C6" i="50"/>
  <c r="B6" i="50"/>
  <c r="E6" i="50"/>
  <c r="J16" i="50"/>
  <c r="E16" i="50" s="1"/>
  <c r="I9" i="50"/>
  <c r="D9" i="50" s="1"/>
  <c r="J9" i="50"/>
  <c r="E9" i="50" s="1"/>
  <c r="J70" i="46"/>
  <c r="K70" i="46"/>
  <c r="J71" i="46"/>
  <c r="J76" i="46" s="1"/>
  <c r="K71" i="46"/>
  <c r="K76" i="46" s="1"/>
  <c r="D12" i="46"/>
  <c r="B12" i="46"/>
  <c r="C8" i="57" l="1"/>
  <c r="C20" i="34"/>
  <c r="C22" i="34" s="1"/>
  <c r="C6" i="57"/>
  <c r="H15" i="21"/>
  <c r="J22" i="21"/>
  <c r="D15" i="21"/>
  <c r="B22" i="21"/>
  <c r="D22" i="21"/>
  <c r="H22" i="21"/>
  <c r="J15" i="21"/>
  <c r="B15" i="21"/>
  <c r="B22" i="34"/>
  <c r="B18" i="62"/>
  <c r="E7" i="61"/>
  <c r="D7" i="61"/>
  <c r="D5" i="61"/>
  <c r="B7" i="61"/>
  <c r="C7" i="61"/>
  <c r="E5" i="61"/>
  <c r="E9" i="61"/>
  <c r="B23" i="34" l="1"/>
  <c r="B11" i="20"/>
  <c r="B10" i="20"/>
  <c r="D11" i="20"/>
  <c r="D10" i="20"/>
  <c r="B5" i="48"/>
  <c r="D5" i="48"/>
  <c r="B6" i="48"/>
  <c r="D6" i="48"/>
  <c r="B7" i="48"/>
  <c r="D7" i="48"/>
  <c r="B8" i="48"/>
  <c r="D8" i="48"/>
  <c r="B9" i="48"/>
  <c r="D9" i="48"/>
  <c r="D17" i="48"/>
  <c r="B17" i="48"/>
  <c r="C15" i="48"/>
  <c r="D15" i="48" s="1"/>
  <c r="A15" i="48"/>
  <c r="A14" i="48"/>
  <c r="D16" i="48"/>
  <c r="B16" i="48"/>
  <c r="D14" i="48"/>
  <c r="B14" i="48"/>
  <c r="B10" i="48"/>
  <c r="D10" i="48"/>
  <c r="C22" i="48"/>
  <c r="B22" i="48"/>
  <c r="D19" i="31"/>
  <c r="D18" i="31"/>
  <c r="D13" i="31"/>
  <c r="D9" i="31"/>
  <c r="D8" i="31"/>
  <c r="D5" i="31"/>
  <c r="D4" i="31"/>
  <c r="A18" i="31"/>
  <c r="A15" i="31"/>
  <c r="A13" i="31"/>
  <c r="A12" i="31"/>
  <c r="A11" i="31"/>
  <c r="A10" i="31"/>
  <c r="A7" i="31"/>
  <c r="A6" i="31"/>
  <c r="J14" i="45"/>
  <c r="K14" i="45"/>
  <c r="J15" i="45"/>
  <c r="K15" i="45"/>
  <c r="J16" i="45"/>
  <c r="K16" i="45"/>
  <c r="J17" i="45"/>
  <c r="K17" i="45"/>
  <c r="J18" i="45"/>
  <c r="K18" i="45"/>
  <c r="J19" i="45"/>
  <c r="K19" i="45"/>
  <c r="J20" i="45"/>
  <c r="K20" i="45"/>
  <c r="I15" i="45"/>
  <c r="I16" i="45"/>
  <c r="I17" i="45"/>
  <c r="I18" i="45"/>
  <c r="I19" i="45"/>
  <c r="I20" i="45"/>
  <c r="I14" i="45"/>
  <c r="F14" i="45"/>
  <c r="G14" i="45"/>
  <c r="H14" i="45"/>
  <c r="G15" i="45"/>
  <c r="H15" i="45"/>
  <c r="G16" i="45"/>
  <c r="H16" i="45"/>
  <c r="G17" i="45"/>
  <c r="H17" i="45"/>
  <c r="G18" i="45"/>
  <c r="H18" i="45"/>
  <c r="G19" i="45"/>
  <c r="H19" i="45"/>
  <c r="G20" i="45"/>
  <c r="H20" i="45"/>
  <c r="F15" i="45"/>
  <c r="F16" i="45"/>
  <c r="F17" i="45"/>
  <c r="F18" i="45"/>
  <c r="F19" i="45"/>
  <c r="F20" i="45"/>
  <c r="D14" i="45"/>
  <c r="E14" i="45"/>
  <c r="D15" i="45"/>
  <c r="E15" i="45"/>
  <c r="D16" i="45"/>
  <c r="E16" i="45"/>
  <c r="D17" i="45"/>
  <c r="E17" i="45"/>
  <c r="D18" i="45"/>
  <c r="E18" i="45"/>
  <c r="D19" i="45"/>
  <c r="E19" i="45"/>
  <c r="D20" i="45"/>
  <c r="E20" i="45"/>
  <c r="C20" i="45"/>
  <c r="C15" i="45"/>
  <c r="C16" i="45"/>
  <c r="C17" i="45"/>
  <c r="C18" i="45"/>
  <c r="C19" i="45"/>
  <c r="C14" i="45"/>
  <c r="B15" i="45"/>
  <c r="B16" i="45"/>
  <c r="B17" i="45"/>
  <c r="B18" i="45"/>
  <c r="B19" i="45"/>
  <c r="B20" i="45"/>
  <c r="B14" i="45"/>
  <c r="S11" i="45"/>
  <c r="Q11" i="45"/>
  <c r="N11" i="45"/>
  <c r="L11" i="45"/>
  <c r="I11" i="45"/>
  <c r="G11" i="45"/>
  <c r="D11" i="45"/>
  <c r="B11" i="45"/>
  <c r="S10" i="45"/>
  <c r="Q10" i="45"/>
  <c r="N10" i="45"/>
  <c r="L10" i="45"/>
  <c r="I10" i="45"/>
  <c r="G10" i="45"/>
  <c r="D10" i="45"/>
  <c r="B10" i="45"/>
  <c r="S9" i="45"/>
  <c r="Q9" i="45"/>
  <c r="N9" i="45"/>
  <c r="L9" i="45"/>
  <c r="I9" i="45"/>
  <c r="G9" i="45"/>
  <c r="D9" i="45"/>
  <c r="B9" i="45"/>
  <c r="S8" i="45"/>
  <c r="Q8" i="45"/>
  <c r="N8" i="45"/>
  <c r="L8" i="45"/>
  <c r="I8" i="45"/>
  <c r="G8" i="45"/>
  <c r="D8" i="45"/>
  <c r="B8" i="45"/>
  <c r="S7" i="45"/>
  <c r="Q7" i="45"/>
  <c r="N7" i="45"/>
  <c r="L7" i="45"/>
  <c r="I7" i="45"/>
  <c r="G7" i="45"/>
  <c r="D7" i="45"/>
  <c r="B7" i="45"/>
  <c r="S6" i="45"/>
  <c r="Q6" i="45"/>
  <c r="N6" i="45"/>
  <c r="L6" i="45"/>
  <c r="I6" i="45"/>
  <c r="G6" i="45"/>
  <c r="D6" i="45"/>
  <c r="B6" i="45"/>
  <c r="S5" i="45"/>
  <c r="Q5" i="45"/>
  <c r="N5" i="45"/>
  <c r="L5" i="45"/>
  <c r="I5" i="45"/>
  <c r="G5" i="45"/>
  <c r="D5" i="45"/>
  <c r="B5" i="45"/>
  <c r="F25" i="42"/>
  <c r="F6" i="20" s="1"/>
  <c r="F24" i="42"/>
  <c r="F5" i="20" s="1"/>
  <c r="D24" i="42"/>
  <c r="E24" i="42"/>
  <c r="C24" i="42"/>
  <c r="D21" i="48" l="1"/>
  <c r="B15" i="48"/>
  <c r="D22" i="48"/>
  <c r="C20" i="42"/>
  <c r="D20" i="42"/>
  <c r="E20" i="42"/>
  <c r="B20" i="42"/>
  <c r="C21" i="42"/>
  <c r="D21" i="42"/>
  <c r="E21" i="42"/>
  <c r="B21" i="42"/>
  <c r="E14" i="42"/>
  <c r="D14" i="42"/>
  <c r="C14" i="42"/>
  <c r="B14" i="42"/>
  <c r="E15" i="42"/>
  <c r="D15" i="42"/>
  <c r="C15" i="42"/>
  <c r="B15" i="42"/>
  <c r="E16" i="42"/>
  <c r="D16" i="42"/>
  <c r="C16" i="42"/>
  <c r="B16" i="42"/>
  <c r="E17" i="42"/>
  <c r="E6" i="20" s="1"/>
  <c r="B16" i="20" s="1"/>
  <c r="D17" i="42"/>
  <c r="D6" i="20" s="1"/>
  <c r="C17" i="42"/>
  <c r="C6" i="20" s="1"/>
  <c r="B17" i="42"/>
  <c r="B6" i="20" s="1"/>
  <c r="D13" i="42"/>
  <c r="D5" i="20" s="1"/>
  <c r="C13" i="42"/>
  <c r="C5" i="20" s="1"/>
  <c r="B13" i="42"/>
  <c r="B5" i="20" s="1"/>
  <c r="E13" i="42"/>
  <c r="E5" i="20" s="1"/>
  <c r="B15" i="20" s="1"/>
  <c r="C15" i="20" s="1"/>
  <c r="D15" i="20" s="1"/>
  <c r="E15" i="20" s="1"/>
  <c r="F15" i="20" s="1"/>
  <c r="G15" i="20" s="1"/>
  <c r="H15" i="20" s="1"/>
  <c r="I15" i="20" s="1"/>
  <c r="J15" i="20" s="1"/>
  <c r="K15" i="20" s="1"/>
  <c r="A23" i="54"/>
  <c r="A21" i="61" s="1"/>
  <c r="A22" i="54"/>
  <c r="A20" i="61" s="1"/>
  <c r="A21" i="54"/>
  <c r="A19" i="61" s="1"/>
  <c r="B52" i="28"/>
  <c r="C16" i="20" l="1"/>
  <c r="B16" i="46"/>
  <c r="B17" i="46" s="1"/>
  <c r="B75" i="46" s="1"/>
  <c r="C4" i="61"/>
  <c r="C6" i="46"/>
  <c r="C8" i="46" s="1"/>
  <c r="B5" i="46"/>
  <c r="B6" i="61"/>
  <c r="B10" i="61"/>
  <c r="B11" i="61"/>
  <c r="B4" i="61"/>
  <c r="B6" i="46"/>
  <c r="B8" i="46" s="1"/>
  <c r="E4" i="61"/>
  <c r="E6" i="46"/>
  <c r="E8" i="46" s="1"/>
  <c r="C10" i="61"/>
  <c r="C5" i="46"/>
  <c r="C6" i="61"/>
  <c r="C11" i="61"/>
  <c r="E5" i="46"/>
  <c r="E6" i="61"/>
  <c r="E11" i="61"/>
  <c r="E10" i="61"/>
  <c r="D11" i="61"/>
  <c r="D5" i="46"/>
  <c r="D6" i="61"/>
  <c r="D10" i="61"/>
  <c r="D4" i="61"/>
  <c r="D6" i="46"/>
  <c r="D8" i="46" s="1"/>
  <c r="E25" i="42"/>
  <c r="D25" i="42"/>
  <c r="C25" i="42"/>
  <c r="B7" i="54"/>
  <c r="C7" i="54"/>
  <c r="D7" i="54"/>
  <c r="E7" i="54"/>
  <c r="F7" i="54"/>
  <c r="G7" i="54"/>
  <c r="H7" i="54"/>
  <c r="I7" i="54"/>
  <c r="J7" i="54"/>
  <c r="K7" i="54"/>
  <c r="B10" i="54"/>
  <c r="C10" i="54"/>
  <c r="D10" i="54"/>
  <c r="E10" i="54"/>
  <c r="F10" i="54"/>
  <c r="G10" i="54"/>
  <c r="H10" i="54"/>
  <c r="I10" i="54"/>
  <c r="J10" i="54"/>
  <c r="K10" i="54"/>
  <c r="B13" i="54"/>
  <c r="C13" i="54"/>
  <c r="D13" i="54"/>
  <c r="E13" i="54"/>
  <c r="F13" i="54"/>
  <c r="G13" i="54"/>
  <c r="H13" i="54"/>
  <c r="I13" i="54"/>
  <c r="J13" i="54"/>
  <c r="K13" i="54"/>
  <c r="D16" i="20" l="1"/>
  <c r="C16" i="46"/>
  <c r="C17" i="46" s="1"/>
  <c r="C75" i="46" s="1"/>
  <c r="F8" i="46"/>
  <c r="C24" i="38"/>
  <c r="E24" i="38"/>
  <c r="E27" i="38"/>
  <c r="C27" i="38"/>
  <c r="E8" i="38"/>
  <c r="C8" i="38"/>
  <c r="E31" i="38"/>
  <c r="C31" i="38"/>
  <c r="E28" i="38"/>
  <c r="C28" i="38"/>
  <c r="E25" i="38"/>
  <c r="C25" i="38"/>
  <c r="E33" i="38"/>
  <c r="C33" i="38"/>
  <c r="E32" i="38"/>
  <c r="C32" i="38"/>
  <c r="E30" i="38"/>
  <c r="C30" i="38"/>
  <c r="E22" i="38"/>
  <c r="C22" i="38"/>
  <c r="E21" i="38"/>
  <c r="C21" i="38"/>
  <c r="Q5" i="36"/>
  <c r="B15" i="36"/>
  <c r="C15" i="36" s="1"/>
  <c r="D15" i="36" s="1"/>
  <c r="E15" i="36" s="1"/>
  <c r="F15" i="36" s="1"/>
  <c r="G15" i="36" s="1"/>
  <c r="B16" i="36"/>
  <c r="C16" i="36" s="1"/>
  <c r="D16" i="36" s="1"/>
  <c r="E16" i="36" s="1"/>
  <c r="F16" i="36" s="1"/>
  <c r="G16" i="36" s="1"/>
  <c r="B17" i="36"/>
  <c r="C17" i="36" s="1"/>
  <c r="D17" i="36" s="1"/>
  <c r="E17" i="36" s="1"/>
  <c r="F17" i="36" s="1"/>
  <c r="G17" i="36" s="1"/>
  <c r="B18" i="36"/>
  <c r="C18" i="36" s="1"/>
  <c r="D18" i="36" s="1"/>
  <c r="E18" i="36" s="1"/>
  <c r="F18" i="36" s="1"/>
  <c r="G18" i="36" s="1"/>
  <c r="B19" i="36"/>
  <c r="C19" i="36" s="1"/>
  <c r="D19" i="36" s="1"/>
  <c r="E19" i="36" s="1"/>
  <c r="F19" i="36" s="1"/>
  <c r="G19" i="36" s="1"/>
  <c r="B20" i="36"/>
  <c r="C20" i="36" s="1"/>
  <c r="D20" i="36" s="1"/>
  <c r="E20" i="36" s="1"/>
  <c r="F20" i="36" s="1"/>
  <c r="G20" i="36" s="1"/>
  <c r="B14" i="36"/>
  <c r="C14" i="36" s="1"/>
  <c r="D14" i="36" s="1"/>
  <c r="E14" i="36" s="1"/>
  <c r="F14" i="36" s="1"/>
  <c r="G14" i="36" s="1"/>
  <c r="S11" i="36"/>
  <c r="S10" i="36"/>
  <c r="S9" i="36"/>
  <c r="S8" i="36"/>
  <c r="S7" i="36"/>
  <c r="S6" i="36"/>
  <c r="S5" i="36"/>
  <c r="N11" i="36"/>
  <c r="N10" i="36"/>
  <c r="N9" i="36"/>
  <c r="N8" i="36"/>
  <c r="N7" i="36"/>
  <c r="N6" i="36"/>
  <c r="N5" i="36"/>
  <c r="I11" i="36"/>
  <c r="I10" i="36"/>
  <c r="I9" i="36"/>
  <c r="I8" i="36"/>
  <c r="I7" i="36"/>
  <c r="I6" i="36"/>
  <c r="I5" i="36"/>
  <c r="D6" i="36"/>
  <c r="D7" i="36"/>
  <c r="D8" i="36"/>
  <c r="D9" i="36"/>
  <c r="D10" i="36"/>
  <c r="D11" i="36"/>
  <c r="D5" i="36"/>
  <c r="B5" i="36"/>
  <c r="Q11" i="36"/>
  <c r="Q10" i="36"/>
  <c r="Q9" i="36"/>
  <c r="Q8" i="36"/>
  <c r="Q7" i="36"/>
  <c r="Q6" i="36"/>
  <c r="L11" i="36"/>
  <c r="L10" i="36"/>
  <c r="L9" i="36"/>
  <c r="L8" i="36"/>
  <c r="L7" i="36"/>
  <c r="L6" i="36"/>
  <c r="L5" i="36"/>
  <c r="G11" i="36"/>
  <c r="G10" i="36"/>
  <c r="G9" i="36"/>
  <c r="G8" i="36"/>
  <c r="G7" i="36"/>
  <c r="G6" i="36"/>
  <c r="G5" i="36"/>
  <c r="B11" i="36"/>
  <c r="B10" i="36"/>
  <c r="B9" i="36"/>
  <c r="B8" i="36"/>
  <c r="B7" i="36"/>
  <c r="B6" i="36"/>
  <c r="C4" i="53"/>
  <c r="C6" i="53" s="1"/>
  <c r="B4" i="53"/>
  <c r="B6" i="53" s="1"/>
  <c r="C15" i="38"/>
  <c r="C12" i="38"/>
  <c r="C9" i="38"/>
  <c r="C17" i="38"/>
  <c r="C16" i="38"/>
  <c r="C14" i="38"/>
  <c r="C11" i="38"/>
  <c r="C6" i="38"/>
  <c r="C5" i="38"/>
  <c r="B16" i="1"/>
  <c r="E15" i="38"/>
  <c r="E12" i="38"/>
  <c r="E9" i="38"/>
  <c r="E17" i="38"/>
  <c r="E16" i="38"/>
  <c r="E14" i="38"/>
  <c r="E11" i="38"/>
  <c r="E6" i="38"/>
  <c r="E5" i="38"/>
  <c r="D16" i="1"/>
  <c r="H14" i="36" l="1"/>
  <c r="I14" i="36" s="1"/>
  <c r="J14" i="36" s="1"/>
  <c r="K14" i="36" s="1"/>
  <c r="H20" i="36"/>
  <c r="I20" i="36" s="1"/>
  <c r="J20" i="36" s="1"/>
  <c r="K20" i="36" s="1"/>
  <c r="E16" i="20"/>
  <c r="D16" i="46"/>
  <c r="D17" i="46" s="1"/>
  <c r="D75" i="46" s="1"/>
  <c r="H18" i="36"/>
  <c r="I18" i="36" s="1"/>
  <c r="J18" i="36" s="1"/>
  <c r="K18" i="36" s="1"/>
  <c r="K20" i="53" s="1"/>
  <c r="H15" i="36"/>
  <c r="I15" i="36" s="1"/>
  <c r="J15" i="36" s="1"/>
  <c r="K15" i="36" s="1"/>
  <c r="K11" i="53" s="1"/>
  <c r="H16" i="36"/>
  <c r="I16" i="36" s="1"/>
  <c r="J16" i="36" s="1"/>
  <c r="K16" i="36" s="1"/>
  <c r="K14" i="53" s="1"/>
  <c r="H17" i="36"/>
  <c r="I17" i="36" s="1"/>
  <c r="J17" i="36" s="1"/>
  <c r="K17" i="36" s="1"/>
  <c r="K17" i="53" s="1"/>
  <c r="F21" i="48"/>
  <c r="H21" i="48" s="1"/>
  <c r="C32" i="57" s="1"/>
  <c r="G22" i="48"/>
  <c r="B14" i="53"/>
  <c r="H19" i="36"/>
  <c r="I19" i="36" s="1"/>
  <c r="J19" i="36" s="1"/>
  <c r="K19" i="36" s="1"/>
  <c r="K21" i="53" s="1"/>
  <c r="B17" i="53"/>
  <c r="B13" i="53"/>
  <c r="B16" i="53"/>
  <c r="K22" i="53"/>
  <c r="H22" i="53"/>
  <c r="E22" i="53"/>
  <c r="E21" i="53"/>
  <c r="E20" i="53"/>
  <c r="E19" i="53"/>
  <c r="E17" i="53"/>
  <c r="E16" i="53"/>
  <c r="E14" i="53"/>
  <c r="E13" i="53"/>
  <c r="E11" i="53"/>
  <c r="K10" i="53"/>
  <c r="H10" i="53"/>
  <c r="E10" i="53"/>
  <c r="B20" i="53"/>
  <c r="I22" i="53"/>
  <c r="F22" i="53"/>
  <c r="C22" i="53"/>
  <c r="F21" i="53"/>
  <c r="C21" i="53"/>
  <c r="F20" i="53"/>
  <c r="C20" i="53"/>
  <c r="F19" i="53"/>
  <c r="C19" i="53"/>
  <c r="F17" i="53"/>
  <c r="C17" i="53"/>
  <c r="F16" i="53"/>
  <c r="C16" i="53"/>
  <c r="F14" i="53"/>
  <c r="C14" i="53"/>
  <c r="F13" i="53"/>
  <c r="C13" i="53"/>
  <c r="F11" i="53"/>
  <c r="C11" i="53"/>
  <c r="I10" i="53"/>
  <c r="F10" i="53"/>
  <c r="D10" i="53"/>
  <c r="B19" i="53"/>
  <c r="J22" i="53"/>
  <c r="G22" i="53"/>
  <c r="D22" i="53"/>
  <c r="G21" i="53"/>
  <c r="D21" i="53"/>
  <c r="G20" i="53"/>
  <c r="D20" i="53"/>
  <c r="G19" i="53"/>
  <c r="D19" i="53"/>
  <c r="G17" i="53"/>
  <c r="D17" i="53"/>
  <c r="G16" i="53"/>
  <c r="D16" i="53"/>
  <c r="G14" i="53"/>
  <c r="D14" i="53"/>
  <c r="J13" i="53"/>
  <c r="G13" i="53"/>
  <c r="D13" i="53"/>
  <c r="G11" i="53"/>
  <c r="D11" i="53"/>
  <c r="J10" i="53"/>
  <c r="G10" i="53"/>
  <c r="C10" i="53"/>
  <c r="B7" i="53"/>
  <c r="B10" i="53"/>
  <c r="B22" i="53"/>
  <c r="B21" i="53"/>
  <c r="B11" i="53"/>
  <c r="I17" i="53" l="1"/>
  <c r="I16" i="53"/>
  <c r="I13" i="53"/>
  <c r="J14" i="53"/>
  <c r="C28" i="53"/>
  <c r="H13" i="53"/>
  <c r="J42" i="28" s="1"/>
  <c r="H20" i="53"/>
  <c r="I49" i="28" s="1"/>
  <c r="J20" i="53"/>
  <c r="J15" i="28" s="1"/>
  <c r="F27" i="53"/>
  <c r="I14" i="53"/>
  <c r="K16" i="53"/>
  <c r="H16" i="53"/>
  <c r="K19" i="53"/>
  <c r="J16" i="53"/>
  <c r="J28" i="28" s="1"/>
  <c r="I20" i="53"/>
  <c r="I15" i="28" s="1"/>
  <c r="J17" i="53"/>
  <c r="J12" i="28" s="1"/>
  <c r="F28" i="53"/>
  <c r="I21" i="53"/>
  <c r="I16" i="28" s="1"/>
  <c r="J21" i="53"/>
  <c r="J16" i="28" s="1"/>
  <c r="H11" i="53"/>
  <c r="I40" i="28" s="1"/>
  <c r="H17" i="53"/>
  <c r="H12" i="28" s="1"/>
  <c r="F16" i="20"/>
  <c r="E16" i="46"/>
  <c r="E17" i="46" s="1"/>
  <c r="E75" i="46" s="1"/>
  <c r="I19" i="53"/>
  <c r="I14" i="28" s="1"/>
  <c r="J19" i="53"/>
  <c r="I11" i="53"/>
  <c r="H19" i="53"/>
  <c r="I48" i="28" s="1"/>
  <c r="J11" i="53"/>
  <c r="J23" i="53" s="1"/>
  <c r="E28" i="53"/>
  <c r="H14" i="53"/>
  <c r="I43" i="28" s="1"/>
  <c r="K13" i="53"/>
  <c r="K28" i="53"/>
  <c r="G28" i="53"/>
  <c r="G21" i="48"/>
  <c r="D28" i="53"/>
  <c r="H22" i="48"/>
  <c r="C33" i="57" s="1"/>
  <c r="E27" i="53"/>
  <c r="C27" i="53"/>
  <c r="B28" i="53"/>
  <c r="B27" i="53"/>
  <c r="B32" i="53" s="1"/>
  <c r="G22" i="28"/>
  <c r="G27" i="53"/>
  <c r="D27" i="53"/>
  <c r="C40" i="28"/>
  <c r="F40" i="28"/>
  <c r="E40" i="28"/>
  <c r="H40" i="28"/>
  <c r="D40" i="28"/>
  <c r="G40" i="28"/>
  <c r="J40" i="28"/>
  <c r="B23" i="28"/>
  <c r="D25" i="28"/>
  <c r="C51" i="28"/>
  <c r="F51" i="28"/>
  <c r="I51" i="28"/>
  <c r="H51" i="28"/>
  <c r="K51" i="28"/>
  <c r="D51" i="28"/>
  <c r="G51" i="28"/>
  <c r="J51" i="28"/>
  <c r="E51" i="28"/>
  <c r="B34" i="28"/>
  <c r="J8" i="28"/>
  <c r="J25" i="28"/>
  <c r="J11" i="28"/>
  <c r="C50" i="28"/>
  <c r="F50" i="28"/>
  <c r="H50" i="28"/>
  <c r="D50" i="28"/>
  <c r="G50" i="28"/>
  <c r="E50" i="28"/>
  <c r="B33" i="28"/>
  <c r="G6" i="28"/>
  <c r="G23" i="28"/>
  <c r="G25" i="28"/>
  <c r="G9" i="28"/>
  <c r="G26" i="28"/>
  <c r="G11" i="28"/>
  <c r="G28" i="28"/>
  <c r="G12" i="28"/>
  <c r="G29" i="28"/>
  <c r="G14" i="28"/>
  <c r="G31" i="28"/>
  <c r="G15" i="28"/>
  <c r="G32" i="28"/>
  <c r="G16" i="28"/>
  <c r="G33" i="28"/>
  <c r="G17" i="28"/>
  <c r="G34" i="28"/>
  <c r="D5" i="28"/>
  <c r="D22" i="28"/>
  <c r="C6" i="28"/>
  <c r="C23" i="28"/>
  <c r="C25" i="28"/>
  <c r="C9" i="28"/>
  <c r="C26" i="28"/>
  <c r="C11" i="28"/>
  <c r="C28" i="28"/>
  <c r="C12" i="28"/>
  <c r="C29" i="28"/>
  <c r="C14" i="28"/>
  <c r="C31" i="28"/>
  <c r="C15" i="28"/>
  <c r="C32" i="28"/>
  <c r="C16" i="28"/>
  <c r="C33" i="28"/>
  <c r="C17" i="28"/>
  <c r="C34" i="28"/>
  <c r="B15" i="28"/>
  <c r="C49" i="28"/>
  <c r="F49" i="28"/>
  <c r="E49" i="28"/>
  <c r="H49" i="28"/>
  <c r="D49" i="28"/>
  <c r="G49" i="28"/>
  <c r="J49" i="28"/>
  <c r="B32" i="28"/>
  <c r="K5" i="28"/>
  <c r="K22" i="28"/>
  <c r="K6" i="28"/>
  <c r="K23" i="28"/>
  <c r="K8" i="28"/>
  <c r="K9" i="28"/>
  <c r="K26" i="28"/>
  <c r="K11" i="28"/>
  <c r="K28" i="28"/>
  <c r="K12" i="28"/>
  <c r="K29" i="28"/>
  <c r="K14" i="28"/>
  <c r="K31" i="28"/>
  <c r="K15" i="28"/>
  <c r="K32" i="28"/>
  <c r="H17" i="28"/>
  <c r="H34" i="28"/>
  <c r="C42" i="28"/>
  <c r="F42" i="28"/>
  <c r="E42" i="28"/>
  <c r="H42" i="28"/>
  <c r="K42" i="28"/>
  <c r="D42" i="28"/>
  <c r="G42" i="28"/>
  <c r="B25" i="28"/>
  <c r="B9" i="28"/>
  <c r="C43" i="28"/>
  <c r="F43" i="28"/>
  <c r="E43" i="28"/>
  <c r="H43" i="28"/>
  <c r="D43" i="28"/>
  <c r="G43" i="28"/>
  <c r="B26" i="28"/>
  <c r="C5" i="28"/>
  <c r="C22" i="28"/>
  <c r="D9" i="28"/>
  <c r="D26" i="28"/>
  <c r="D11" i="28"/>
  <c r="D28" i="28"/>
  <c r="D12" i="28"/>
  <c r="D29" i="28"/>
  <c r="D14" i="28"/>
  <c r="D31" i="28"/>
  <c r="D15" i="28"/>
  <c r="D32" i="28"/>
  <c r="D16" i="28"/>
  <c r="D33" i="28"/>
  <c r="D17" i="28"/>
  <c r="D34" i="28"/>
  <c r="B14" i="28"/>
  <c r="C48" i="28"/>
  <c r="F48" i="28"/>
  <c r="H48" i="28"/>
  <c r="E48" i="28"/>
  <c r="D48" i="28"/>
  <c r="G48" i="28"/>
  <c r="B31" i="28"/>
  <c r="I5" i="28"/>
  <c r="I22" i="28"/>
  <c r="I6" i="28"/>
  <c r="I23" i="28"/>
  <c r="I8" i="28"/>
  <c r="I25" i="28"/>
  <c r="I9" i="28"/>
  <c r="I26" i="28"/>
  <c r="I11" i="28"/>
  <c r="I28" i="28"/>
  <c r="I12" i="28"/>
  <c r="I29" i="28"/>
  <c r="I33" i="28"/>
  <c r="I17" i="28"/>
  <c r="I34" i="28"/>
  <c r="H5" i="28"/>
  <c r="H22" i="28"/>
  <c r="H11" i="28"/>
  <c r="H28" i="28"/>
  <c r="E17" i="28"/>
  <c r="E34" i="28"/>
  <c r="B11" i="28"/>
  <c r="C45" i="28"/>
  <c r="F45" i="28"/>
  <c r="I45" i="28"/>
  <c r="E45" i="28"/>
  <c r="H45" i="28"/>
  <c r="K45" i="28"/>
  <c r="D45" i="28"/>
  <c r="G45" i="28"/>
  <c r="J45" i="28"/>
  <c r="B28" i="28"/>
  <c r="K16" i="28"/>
  <c r="K33" i="28"/>
  <c r="D39" i="28"/>
  <c r="G39" i="28"/>
  <c r="J39" i="28"/>
  <c r="I39" i="28"/>
  <c r="E39" i="28"/>
  <c r="H39" i="28"/>
  <c r="K39" i="28"/>
  <c r="F39" i="28"/>
  <c r="C39" i="28"/>
  <c r="B22" i="28"/>
  <c r="D6" i="28"/>
  <c r="D23" i="28"/>
  <c r="J5" i="28"/>
  <c r="J22" i="28"/>
  <c r="J9" i="28"/>
  <c r="J26" i="28"/>
  <c r="J14" i="28"/>
  <c r="J31" i="28"/>
  <c r="J17" i="28"/>
  <c r="J34" i="28"/>
  <c r="F5" i="28"/>
  <c r="F22" i="28"/>
  <c r="F6" i="28"/>
  <c r="F23" i="28"/>
  <c r="F25" i="28"/>
  <c r="F9" i="28"/>
  <c r="F26" i="28"/>
  <c r="F11" i="28"/>
  <c r="F28" i="28"/>
  <c r="F12" i="28"/>
  <c r="F29" i="28"/>
  <c r="F14" i="28"/>
  <c r="F31" i="28"/>
  <c r="F15" i="28"/>
  <c r="F32" i="28"/>
  <c r="F16" i="28"/>
  <c r="F33" i="28"/>
  <c r="F17" i="28"/>
  <c r="F34" i="28"/>
  <c r="E5" i="28"/>
  <c r="E22" i="28"/>
  <c r="E6" i="28"/>
  <c r="E23" i="28"/>
  <c r="E25" i="28"/>
  <c r="E9" i="28"/>
  <c r="E26" i="28"/>
  <c r="E11" i="28"/>
  <c r="E28" i="28"/>
  <c r="E12" i="28"/>
  <c r="E29" i="28"/>
  <c r="E14" i="28"/>
  <c r="E31" i="28"/>
  <c r="E15" i="28"/>
  <c r="E32" i="28"/>
  <c r="E16" i="28"/>
  <c r="E33" i="28"/>
  <c r="K17" i="28"/>
  <c r="K34" i="28"/>
  <c r="B12" i="28"/>
  <c r="C46" i="28"/>
  <c r="F46" i="28"/>
  <c r="E46" i="28"/>
  <c r="H46" i="28"/>
  <c r="D46" i="28"/>
  <c r="G46" i="28"/>
  <c r="J46" i="28"/>
  <c r="B29" i="28"/>
  <c r="F8" i="28"/>
  <c r="E8" i="28"/>
  <c r="B16" i="28"/>
  <c r="B16" i="54" s="1"/>
  <c r="B9" i="55" s="1"/>
  <c r="B6" i="28"/>
  <c r="B17" i="28"/>
  <c r="B5" i="28"/>
  <c r="G5" i="28"/>
  <c r="G8" i="28"/>
  <c r="C8" i="28"/>
  <c r="D8" i="28"/>
  <c r="B8" i="28"/>
  <c r="H21" i="53"/>
  <c r="H27" i="53" s="1"/>
  <c r="G23" i="53"/>
  <c r="D23" i="53"/>
  <c r="E23" i="53"/>
  <c r="B23" i="53"/>
  <c r="B29" i="53" s="1"/>
  <c r="C23" i="53"/>
  <c r="F23" i="53"/>
  <c r="H11" i="4"/>
  <c r="C25" i="34" s="1"/>
  <c r="H32" i="28" l="1"/>
  <c r="H15" i="28"/>
  <c r="H8" i="28"/>
  <c r="H31" i="28"/>
  <c r="H25" i="28"/>
  <c r="H8" i="54" s="1"/>
  <c r="I32" i="28"/>
  <c r="K49" i="28"/>
  <c r="K15" i="54" s="1"/>
  <c r="J6" i="28"/>
  <c r="J6" i="54" s="1"/>
  <c r="J5" i="55" s="1"/>
  <c r="K40" i="28"/>
  <c r="I28" i="53"/>
  <c r="H9" i="28"/>
  <c r="I42" i="28"/>
  <c r="I46" i="28"/>
  <c r="H14" i="28"/>
  <c r="H14" i="54" s="1"/>
  <c r="H23" i="28"/>
  <c r="H6" i="54" s="1"/>
  <c r="H5" i="55" s="1"/>
  <c r="J32" i="28"/>
  <c r="J15" i="54" s="1"/>
  <c r="H26" i="28"/>
  <c r="J23" i="28"/>
  <c r="H29" i="28"/>
  <c r="H6" i="28"/>
  <c r="K43" i="28"/>
  <c r="K27" i="53"/>
  <c r="H28" i="53"/>
  <c r="J33" i="53" s="1"/>
  <c r="J28" i="53"/>
  <c r="J27" i="53"/>
  <c r="I23" i="53"/>
  <c r="K48" i="28"/>
  <c r="J43" i="28"/>
  <c r="K25" i="28"/>
  <c r="K8" i="54" s="1"/>
  <c r="I27" i="53"/>
  <c r="K32" i="53" s="1"/>
  <c r="K23" i="53"/>
  <c r="K24" i="53" s="1"/>
  <c r="J48" i="28"/>
  <c r="J14" i="54" s="1"/>
  <c r="G16" i="20"/>
  <c r="F16" i="46"/>
  <c r="F17" i="46" s="1"/>
  <c r="F75" i="46" s="1"/>
  <c r="J33" i="28"/>
  <c r="I31" i="28"/>
  <c r="I14" i="54" s="1"/>
  <c r="J29" i="28"/>
  <c r="J12" i="54" s="1"/>
  <c r="B8" i="54"/>
  <c r="K46" i="28"/>
  <c r="K12" i="54" s="1"/>
  <c r="H14" i="4"/>
  <c r="E32" i="53"/>
  <c r="K18" i="28"/>
  <c r="G5" i="54"/>
  <c r="G4" i="55" s="1"/>
  <c r="B6" i="54"/>
  <c r="B5" i="55" s="1"/>
  <c r="G35" i="28"/>
  <c r="I5" i="54"/>
  <c r="I4" i="55" s="1"/>
  <c r="G8" i="54"/>
  <c r="B17" i="54"/>
  <c r="B10" i="55" s="1"/>
  <c r="I18" i="28"/>
  <c r="C35" i="28"/>
  <c r="H23" i="53"/>
  <c r="H24" i="53" s="1"/>
  <c r="F8" i="54"/>
  <c r="C32" i="53"/>
  <c r="D33" i="53"/>
  <c r="G33" i="53"/>
  <c r="C33" i="53"/>
  <c r="F33" i="53"/>
  <c r="B33" i="53"/>
  <c r="E33" i="53"/>
  <c r="H33" i="53"/>
  <c r="K33" i="53"/>
  <c r="E12" i="54"/>
  <c r="E5" i="54"/>
  <c r="E4" i="55" s="1"/>
  <c r="F11" i="54"/>
  <c r="B11" i="54"/>
  <c r="H9" i="54"/>
  <c r="I8" i="54"/>
  <c r="D15" i="54"/>
  <c r="C6" i="54"/>
  <c r="C5" i="55" s="1"/>
  <c r="D32" i="53"/>
  <c r="F32" i="53"/>
  <c r="B34" i="53"/>
  <c r="B16" i="61" s="1"/>
  <c r="J24" i="53"/>
  <c r="J29" i="53"/>
  <c r="F24" i="53"/>
  <c r="F29" i="53"/>
  <c r="I24" i="53"/>
  <c r="I29" i="53"/>
  <c r="D24" i="53"/>
  <c r="D29" i="53"/>
  <c r="G24" i="53"/>
  <c r="G29" i="53"/>
  <c r="B12" i="54"/>
  <c r="E11" i="54"/>
  <c r="E7" i="55" s="1"/>
  <c r="F9" i="54"/>
  <c r="F6" i="54"/>
  <c r="F5" i="55" s="1"/>
  <c r="B35" i="28"/>
  <c r="D52" i="28"/>
  <c r="E17" i="54"/>
  <c r="E10" i="55" s="1"/>
  <c r="H5" i="54"/>
  <c r="H4" i="55" s="1"/>
  <c r="I15" i="54"/>
  <c r="I6" i="54"/>
  <c r="I5" i="55" s="1"/>
  <c r="E24" i="53"/>
  <c r="E29" i="53"/>
  <c r="E9" i="54"/>
  <c r="E6" i="54"/>
  <c r="E5" i="55" s="1"/>
  <c r="F5" i="54"/>
  <c r="F4" i="55" s="1"/>
  <c r="D6" i="54"/>
  <c r="D5" i="55" s="1"/>
  <c r="E52" i="28"/>
  <c r="H15" i="54"/>
  <c r="I17" i="54"/>
  <c r="I10" i="55" s="1"/>
  <c r="I9" i="54"/>
  <c r="B15" i="54"/>
  <c r="G6" i="54"/>
  <c r="G5" i="55" s="1"/>
  <c r="H32" i="53"/>
  <c r="C24" i="53"/>
  <c r="C29" i="53"/>
  <c r="G32" i="53"/>
  <c r="B5" i="54"/>
  <c r="B4" i="55" s="1"/>
  <c r="J5" i="54"/>
  <c r="J4" i="55" s="1"/>
  <c r="B9" i="54"/>
  <c r="H33" i="28"/>
  <c r="H35" i="28" s="1"/>
  <c r="K17" i="54"/>
  <c r="K10" i="55" s="1"/>
  <c r="F16" i="54"/>
  <c r="F9" i="55" s="1"/>
  <c r="E15" i="54"/>
  <c r="E14" i="54"/>
  <c r="E35" i="28"/>
  <c r="F15" i="54"/>
  <c r="F14" i="54"/>
  <c r="F35" i="28"/>
  <c r="J9" i="54"/>
  <c r="C52" i="28"/>
  <c r="H52" i="28"/>
  <c r="H12" i="54"/>
  <c r="H11" i="54"/>
  <c r="I12" i="54"/>
  <c r="I11" i="54"/>
  <c r="B14" i="54"/>
  <c r="D17" i="54"/>
  <c r="D10" i="55" s="1"/>
  <c r="D16" i="54"/>
  <c r="D9" i="55" s="1"/>
  <c r="D9" i="54"/>
  <c r="K14" i="54"/>
  <c r="K6" i="54"/>
  <c r="K5" i="55" s="1"/>
  <c r="C15" i="54"/>
  <c r="C14" i="54"/>
  <c r="D35" i="28"/>
  <c r="G15" i="54"/>
  <c r="G14" i="54"/>
  <c r="K50" i="28"/>
  <c r="F12" i="54"/>
  <c r="D14" i="54"/>
  <c r="C5" i="54"/>
  <c r="C4" i="55" s="1"/>
  <c r="K11" i="54"/>
  <c r="K5" i="54"/>
  <c r="K4" i="55" s="1"/>
  <c r="C12" i="54"/>
  <c r="C11" i="54"/>
  <c r="G12" i="54"/>
  <c r="G11" i="54"/>
  <c r="J50" i="28"/>
  <c r="J52" i="28" s="1"/>
  <c r="J11" i="54"/>
  <c r="J8" i="54"/>
  <c r="E16" i="54"/>
  <c r="E9" i="55" s="1"/>
  <c r="F17" i="54"/>
  <c r="J17" i="54"/>
  <c r="J10" i="55" s="1"/>
  <c r="F52" i="28"/>
  <c r="G52" i="28"/>
  <c r="D12" i="54"/>
  <c r="D11" i="54"/>
  <c r="H17" i="54"/>
  <c r="H10" i="55" s="1"/>
  <c r="K9" i="54"/>
  <c r="C17" i="54"/>
  <c r="C10" i="55" s="1"/>
  <c r="C16" i="54"/>
  <c r="C9" i="55" s="1"/>
  <c r="C9" i="54"/>
  <c r="D5" i="54"/>
  <c r="D4" i="55" s="1"/>
  <c r="G17" i="54"/>
  <c r="G10" i="55" s="1"/>
  <c r="G16" i="54"/>
  <c r="G9" i="55" s="1"/>
  <c r="G9" i="54"/>
  <c r="I50" i="28"/>
  <c r="I52" i="28" s="1"/>
  <c r="E18" i="28"/>
  <c r="E8" i="54"/>
  <c r="C18" i="28"/>
  <c r="C8" i="54"/>
  <c r="D18" i="28"/>
  <c r="D8" i="54"/>
  <c r="F18" i="28"/>
  <c r="B18" i="28"/>
  <c r="H16" i="28"/>
  <c r="G18" i="28"/>
  <c r="B24" i="53"/>
  <c r="E54" i="28" l="1"/>
  <c r="I33" i="53"/>
  <c r="I8" i="55"/>
  <c r="J35" i="28"/>
  <c r="K52" i="28"/>
  <c r="K23" i="54" s="1"/>
  <c r="K21" i="61" s="1"/>
  <c r="J18" i="28"/>
  <c r="J21" i="54" s="1"/>
  <c r="J19" i="61" s="1"/>
  <c r="K29" i="53"/>
  <c r="K35" i="28"/>
  <c r="K22" i="54" s="1"/>
  <c r="K20" i="61" s="1"/>
  <c r="B54" i="28"/>
  <c r="I35" i="28"/>
  <c r="J32" i="53"/>
  <c r="I32" i="53"/>
  <c r="C54" i="28"/>
  <c r="B6" i="55"/>
  <c r="H8" i="55"/>
  <c r="H16" i="20"/>
  <c r="G16" i="46"/>
  <c r="G17" i="46" s="1"/>
  <c r="G75" i="46" s="1"/>
  <c r="F54" i="28"/>
  <c r="B7" i="55"/>
  <c r="D54" i="28"/>
  <c r="G54" i="28"/>
  <c r="I54" i="28"/>
  <c r="J54" i="28"/>
  <c r="G6" i="55"/>
  <c r="C21" i="54"/>
  <c r="C19" i="61" s="1"/>
  <c r="B8" i="55"/>
  <c r="I6" i="55"/>
  <c r="H29" i="53"/>
  <c r="J34" i="53" s="1"/>
  <c r="J16" i="61" s="1"/>
  <c r="F7" i="55"/>
  <c r="H6" i="55"/>
  <c r="E23" i="54"/>
  <c r="E21" i="61" s="1"/>
  <c r="J6" i="55"/>
  <c r="D6" i="55"/>
  <c r="B18" i="54"/>
  <c r="D8" i="55"/>
  <c r="F6" i="55"/>
  <c r="J23" i="54"/>
  <c r="J21" i="61" s="1"/>
  <c r="J8" i="55"/>
  <c r="C34" i="53"/>
  <c r="C16" i="61" s="1"/>
  <c r="D34" i="53"/>
  <c r="D16" i="61" s="1"/>
  <c r="E34" i="53"/>
  <c r="E16" i="61" s="1"/>
  <c r="C7" i="55"/>
  <c r="G8" i="55"/>
  <c r="C8" i="55"/>
  <c r="K8" i="55"/>
  <c r="I7" i="55"/>
  <c r="H7" i="55"/>
  <c r="F8" i="55"/>
  <c r="E8" i="55"/>
  <c r="F34" i="53"/>
  <c r="F16" i="61" s="1"/>
  <c r="G34" i="53"/>
  <c r="G16" i="61" s="1"/>
  <c r="E18" i="54"/>
  <c r="E6" i="55"/>
  <c r="F18" i="54"/>
  <c r="F10" i="55"/>
  <c r="K6" i="55"/>
  <c r="C6" i="55"/>
  <c r="J7" i="55"/>
  <c r="G7" i="55"/>
  <c r="K7" i="55"/>
  <c r="D7" i="55"/>
  <c r="E21" i="54"/>
  <c r="E19" i="61" s="1"/>
  <c r="G23" i="54"/>
  <c r="G21" i="61" s="1"/>
  <c r="D21" i="54"/>
  <c r="D19" i="61" s="1"/>
  <c r="I23" i="54"/>
  <c r="I21" i="61" s="1"/>
  <c r="J16" i="54"/>
  <c r="K16" i="54"/>
  <c r="K9" i="55" s="1"/>
  <c r="F21" i="54"/>
  <c r="F19" i="61" s="1"/>
  <c r="G18" i="54"/>
  <c r="B23" i="54"/>
  <c r="B21" i="61" s="1"/>
  <c r="B21" i="54"/>
  <c r="B19" i="61" s="1"/>
  <c r="D18" i="54"/>
  <c r="C22" i="54"/>
  <c r="C20" i="61" s="1"/>
  <c r="G21" i="54"/>
  <c r="G19" i="61" s="1"/>
  <c r="C18" i="54"/>
  <c r="F23" i="54"/>
  <c r="F21" i="61" s="1"/>
  <c r="I16" i="54"/>
  <c r="D23" i="54"/>
  <c r="D21" i="61" s="1"/>
  <c r="B22" i="54"/>
  <c r="B20" i="61" s="1"/>
  <c r="I22" i="54"/>
  <c r="I20" i="61" s="1"/>
  <c r="D22" i="54"/>
  <c r="D20" i="61" s="1"/>
  <c r="G22" i="54"/>
  <c r="G20" i="61" s="1"/>
  <c r="C23" i="54"/>
  <c r="C21" i="61" s="1"/>
  <c r="I21" i="54"/>
  <c r="I19" i="61" s="1"/>
  <c r="F22" i="54"/>
  <c r="F20" i="61" s="1"/>
  <c r="E22" i="54"/>
  <c r="E20" i="61" s="1"/>
  <c r="H18" i="28"/>
  <c r="H16" i="54"/>
  <c r="B21" i="1"/>
  <c r="G11" i="4"/>
  <c r="G14" i="4" s="1"/>
  <c r="F11" i="4"/>
  <c r="F14" i="4" s="1"/>
  <c r="E11" i="4"/>
  <c r="E14" i="4" s="1"/>
  <c r="D11" i="4"/>
  <c r="D14" i="4" s="1"/>
  <c r="C11" i="4"/>
  <c r="K11" i="1"/>
  <c r="L11" i="1"/>
  <c r="M11" i="1"/>
  <c r="N11" i="1"/>
  <c r="J11" i="1"/>
  <c r="O10" i="1"/>
  <c r="O9" i="1"/>
  <c r="O8" i="1"/>
  <c r="O7" i="1"/>
  <c r="O6" i="1"/>
  <c r="C11" i="1"/>
  <c r="D11" i="1"/>
  <c r="E11" i="1"/>
  <c r="F11" i="1"/>
  <c r="B11" i="1"/>
  <c r="G10" i="1"/>
  <c r="G9" i="1"/>
  <c r="G8" i="1"/>
  <c r="G7" i="1"/>
  <c r="G6" i="1"/>
  <c r="B11" i="55" l="1"/>
  <c r="K54" i="28"/>
  <c r="J22" i="54"/>
  <c r="J20" i="61" s="1"/>
  <c r="K21" i="54"/>
  <c r="K19" i="61" s="1"/>
  <c r="K18" i="54"/>
  <c r="K5" i="63" s="1"/>
  <c r="I16" i="20"/>
  <c r="H16" i="46"/>
  <c r="H17" i="46" s="1"/>
  <c r="H75" i="46" s="1"/>
  <c r="G5" i="63"/>
  <c r="G24" i="61"/>
  <c r="B25" i="61"/>
  <c r="B6" i="63"/>
  <c r="E5" i="63"/>
  <c r="E24" i="61"/>
  <c r="C5" i="63"/>
  <c r="C24" i="61"/>
  <c r="D5" i="63"/>
  <c r="D24" i="61"/>
  <c r="B12" i="12"/>
  <c r="B16" i="12" s="1"/>
  <c r="B5" i="63"/>
  <c r="B24" i="61"/>
  <c r="F5" i="63"/>
  <c r="F24" i="61"/>
  <c r="K12" i="12"/>
  <c r="K16" i="12" s="1"/>
  <c r="K24" i="61"/>
  <c r="E15" i="61"/>
  <c r="D15" i="61"/>
  <c r="G15" i="61"/>
  <c r="C15" i="61"/>
  <c r="F15" i="61"/>
  <c r="B15" i="61"/>
  <c r="H21" i="54"/>
  <c r="H19" i="61" s="1"/>
  <c r="H54" i="28"/>
  <c r="C11" i="55"/>
  <c r="C14" i="12" s="1"/>
  <c r="C14" i="4"/>
  <c r="I11" i="4"/>
  <c r="I34" i="53"/>
  <c r="I16" i="61" s="1"/>
  <c r="K34" i="53"/>
  <c r="K16" i="61" s="1"/>
  <c r="H34" i="53"/>
  <c r="H16" i="61" s="1"/>
  <c r="D11" i="55"/>
  <c r="B20" i="20"/>
  <c r="B25" i="20" s="1"/>
  <c r="G11" i="55"/>
  <c r="E11" i="55"/>
  <c r="C12" i="12"/>
  <c r="C16" i="12" s="1"/>
  <c r="C20" i="20"/>
  <c r="C25" i="20" s="1"/>
  <c r="B14" i="12"/>
  <c r="B15" i="12" s="1"/>
  <c r="B21" i="20"/>
  <c r="B23" i="20" s="1"/>
  <c r="E12" i="12"/>
  <c r="E16" i="12" s="1"/>
  <c r="E20" i="20"/>
  <c r="E25" i="20" s="1"/>
  <c r="F11" i="55"/>
  <c r="G20" i="20"/>
  <c r="G25" i="20" s="1"/>
  <c r="G12" i="12"/>
  <c r="G16" i="12" s="1"/>
  <c r="E14" i="12"/>
  <c r="D20" i="20"/>
  <c r="D25" i="20" s="1"/>
  <c r="D12" i="12"/>
  <c r="D16" i="12" s="1"/>
  <c r="F12" i="12"/>
  <c r="F16" i="12" s="1"/>
  <c r="F20" i="20"/>
  <c r="F25" i="20" s="1"/>
  <c r="K11" i="55"/>
  <c r="K6" i="63" s="1"/>
  <c r="I18" i="54"/>
  <c r="I9" i="55"/>
  <c r="I11" i="55" s="1"/>
  <c r="H18" i="54"/>
  <c r="H9" i="55"/>
  <c r="H11" i="55" s="1"/>
  <c r="H6" i="63" s="1"/>
  <c r="J18" i="54"/>
  <c r="J9" i="55"/>
  <c r="J11" i="55" s="1"/>
  <c r="H23" i="54"/>
  <c r="H21" i="61" s="1"/>
  <c r="H22" i="54"/>
  <c r="H20" i="61" s="1"/>
  <c r="E16" i="1"/>
  <c r="C10" i="57" s="1"/>
  <c r="O11" i="1"/>
  <c r="G11" i="1"/>
  <c r="K15" i="61" l="1"/>
  <c r="C21" i="20"/>
  <c r="C23" i="20" s="1"/>
  <c r="J16" i="20"/>
  <c r="I16" i="46"/>
  <c r="I17" i="46" s="1"/>
  <c r="I75" i="46" s="1"/>
  <c r="I24" i="61"/>
  <c r="I5" i="63"/>
  <c r="E21" i="20"/>
  <c r="E23" i="46" s="1"/>
  <c r="E6" i="63"/>
  <c r="E25" i="61"/>
  <c r="J24" i="61"/>
  <c r="J5" i="63"/>
  <c r="I25" i="61"/>
  <c r="I6" i="63"/>
  <c r="F6" i="63"/>
  <c r="F25" i="61"/>
  <c r="J25" i="61"/>
  <c r="J6" i="63"/>
  <c r="H15" i="61"/>
  <c r="H5" i="63"/>
  <c r="G14" i="12"/>
  <c r="G6" i="63"/>
  <c r="G25" i="61"/>
  <c r="D14" i="12"/>
  <c r="D13" i="12" s="1"/>
  <c r="D6" i="63"/>
  <c r="D25" i="61"/>
  <c r="C6" i="63"/>
  <c r="C25" i="61"/>
  <c r="I15" i="61"/>
  <c r="J15" i="61"/>
  <c r="H25" i="61"/>
  <c r="H24" i="61"/>
  <c r="K14" i="12"/>
  <c r="K13" i="12" s="1"/>
  <c r="D21" i="20"/>
  <c r="E15" i="12"/>
  <c r="E17" i="12" s="1"/>
  <c r="E10" i="63" s="1"/>
  <c r="E18" i="63" s="1"/>
  <c r="C15" i="12"/>
  <c r="C17" i="12" s="1"/>
  <c r="C10" i="63" s="1"/>
  <c r="C18" i="63" s="1"/>
  <c r="G15" i="12"/>
  <c r="G17" i="12" s="1"/>
  <c r="G21" i="20"/>
  <c r="B26" i="20"/>
  <c r="B23" i="46"/>
  <c r="B26" i="46" s="1"/>
  <c r="C26" i="20"/>
  <c r="C23" i="46"/>
  <c r="K20" i="20"/>
  <c r="K25" i="20" s="1"/>
  <c r="J20" i="20"/>
  <c r="J25" i="20" s="1"/>
  <c r="J12" i="12"/>
  <c r="J16" i="12" s="1"/>
  <c r="I14" i="12"/>
  <c r="I21" i="20"/>
  <c r="I23" i="20" s="1"/>
  <c r="E13" i="12"/>
  <c r="G13" i="12"/>
  <c r="F14" i="12"/>
  <c r="F21" i="20"/>
  <c r="F23" i="20" s="1"/>
  <c r="J21" i="20"/>
  <c r="J23" i="20" s="1"/>
  <c r="J14" i="12"/>
  <c r="H12" i="12"/>
  <c r="H16" i="12" s="1"/>
  <c r="H20" i="20"/>
  <c r="H25" i="20" s="1"/>
  <c r="C13" i="12"/>
  <c r="H21" i="20"/>
  <c r="H23" i="20" s="1"/>
  <c r="H14" i="12"/>
  <c r="I12" i="12"/>
  <c r="I16" i="12" s="1"/>
  <c r="I20" i="20"/>
  <c r="I25" i="20" s="1"/>
  <c r="B20" i="1"/>
  <c r="C20" i="1" s="1"/>
  <c r="D20" i="1" s="1"/>
  <c r="E20" i="1" s="1"/>
  <c r="F20" i="1" s="1"/>
  <c r="G20" i="1" s="1"/>
  <c r="H20" i="1" s="1"/>
  <c r="I20" i="1" s="1"/>
  <c r="J20" i="1" s="1"/>
  <c r="K20" i="1" s="1"/>
  <c r="L20" i="1" s="1"/>
  <c r="C21" i="1"/>
  <c r="D15" i="12" l="1"/>
  <c r="D17" i="12" s="1"/>
  <c r="D10" i="63" s="1"/>
  <c r="D18" i="63" s="1"/>
  <c r="K15" i="12"/>
  <c r="K17" i="12" s="1"/>
  <c r="K10" i="63" s="1"/>
  <c r="K16" i="20"/>
  <c r="K25" i="61" s="1"/>
  <c r="J16" i="46"/>
  <c r="J17" i="46" s="1"/>
  <c r="J75" i="46" s="1"/>
  <c r="J77" i="46" s="1"/>
  <c r="C34" i="46"/>
  <c r="C26" i="46"/>
  <c r="E42" i="46"/>
  <c r="E26" i="46"/>
  <c r="G23" i="46"/>
  <c r="G26" i="46" s="1"/>
  <c r="G23" i="20"/>
  <c r="D23" i="46"/>
  <c r="D23" i="20"/>
  <c r="E26" i="20"/>
  <c r="E23" i="20"/>
  <c r="D26" i="20"/>
  <c r="G7" i="43"/>
  <c r="G11" i="63" s="1"/>
  <c r="G10" i="63"/>
  <c r="G26" i="20"/>
  <c r="H15" i="12"/>
  <c r="H17" i="12" s="1"/>
  <c r="F15" i="12"/>
  <c r="F17" i="12" s="1"/>
  <c r="F10" i="63" s="1"/>
  <c r="F18" i="63" s="1"/>
  <c r="I15" i="12"/>
  <c r="I17" i="12" s="1"/>
  <c r="J15" i="12"/>
  <c r="J17" i="12" s="1"/>
  <c r="G50" i="46"/>
  <c r="D24" i="46"/>
  <c r="E24" i="46"/>
  <c r="B31" i="46"/>
  <c r="C24" i="46"/>
  <c r="B24" i="46"/>
  <c r="H26" i="20"/>
  <c r="H23" i="46"/>
  <c r="H26" i="46" s="1"/>
  <c r="F26" i="20"/>
  <c r="F23" i="46"/>
  <c r="F26" i="46" s="1"/>
  <c r="K21" i="20"/>
  <c r="K23" i="20" s="1"/>
  <c r="J26" i="20"/>
  <c r="J23" i="46"/>
  <c r="J26" i="46" s="1"/>
  <c r="I26" i="20"/>
  <c r="I23" i="46"/>
  <c r="I26" i="46" s="1"/>
  <c r="B9" i="43"/>
  <c r="B13" i="63" s="1"/>
  <c r="K7" i="43"/>
  <c r="K11" i="63" s="1"/>
  <c r="F13" i="12"/>
  <c r="I13" i="12"/>
  <c r="C7" i="43"/>
  <c r="H23" i="43"/>
  <c r="H13" i="12"/>
  <c r="J13" i="12"/>
  <c r="E7" i="43"/>
  <c r="J23" i="43"/>
  <c r="D7" i="43"/>
  <c r="I23" i="43"/>
  <c r="D21" i="1"/>
  <c r="K16" i="46" l="1"/>
  <c r="K17" i="46" s="1"/>
  <c r="K75" i="46" s="1"/>
  <c r="K77" i="46" s="1"/>
  <c r="D38" i="46"/>
  <c r="D26" i="46"/>
  <c r="G24" i="46"/>
  <c r="J7" i="43"/>
  <c r="J11" i="63" s="1"/>
  <c r="J10" i="63"/>
  <c r="H7" i="43"/>
  <c r="H11" i="63" s="1"/>
  <c r="H10" i="63"/>
  <c r="E15" i="43"/>
  <c r="E11" i="63"/>
  <c r="E19" i="63" s="1"/>
  <c r="D15" i="43"/>
  <c r="D11" i="63"/>
  <c r="D19" i="63" s="1"/>
  <c r="C15" i="43"/>
  <c r="C11" i="63"/>
  <c r="C19" i="63" s="1"/>
  <c r="I7" i="43"/>
  <c r="I11" i="63" s="1"/>
  <c r="I10" i="63"/>
  <c r="B71" i="46"/>
  <c r="B76" i="46" s="1"/>
  <c r="B77" i="46" s="1"/>
  <c r="I24" i="46"/>
  <c r="I58" i="46"/>
  <c r="J24" i="46"/>
  <c r="J62" i="46"/>
  <c r="H24" i="46"/>
  <c r="H54" i="46"/>
  <c r="F24" i="46"/>
  <c r="F46" i="46"/>
  <c r="B32" i="46"/>
  <c r="K26" i="20"/>
  <c r="K23" i="46"/>
  <c r="F7" i="43"/>
  <c r="K23" i="43"/>
  <c r="B25" i="43" s="1"/>
  <c r="B17" i="43"/>
  <c r="B21" i="63" s="1"/>
  <c r="E21" i="1"/>
  <c r="K24" i="46" l="1"/>
  <c r="K26" i="46"/>
  <c r="F15" i="43"/>
  <c r="F11" i="63"/>
  <c r="F19" i="63" s="1"/>
  <c r="F21" i="1"/>
  <c r="G21" i="1" l="1"/>
  <c r="B17" i="12"/>
  <c r="B10" i="63" s="1"/>
  <c r="B18" i="63" s="1"/>
  <c r="B13" i="12"/>
  <c r="B7" i="43" l="1"/>
  <c r="G23" i="43"/>
  <c r="B24" i="43" s="1"/>
  <c r="B26" i="43" s="1"/>
  <c r="H21" i="1"/>
  <c r="B8" i="43" l="1"/>
  <c r="B11" i="63"/>
  <c r="B19" i="63" s="1"/>
  <c r="B20" i="63" s="1"/>
  <c r="B27" i="43"/>
  <c r="D32" i="43"/>
  <c r="D30" i="43"/>
  <c r="D31" i="43"/>
  <c r="B15" i="43"/>
  <c r="B16" i="43" s="1"/>
  <c r="B18" i="43" s="1"/>
  <c r="B22" i="63" s="1"/>
  <c r="I21" i="1"/>
  <c r="J21" i="1" s="1"/>
  <c r="K21" i="1" s="1"/>
  <c r="L21" i="1" s="1"/>
  <c r="B10" i="43" l="1"/>
  <c r="B12" i="63"/>
  <c r="B14" i="63" s="1"/>
  <c r="B19" i="43"/>
  <c r="C31" i="43"/>
  <c r="C32" i="43"/>
  <c r="C30" i="43"/>
  <c r="B32" i="43" l="1"/>
  <c r="B11" i="43"/>
  <c r="B30" i="46"/>
  <c r="B33" i="46" s="1"/>
  <c r="B31" i="43"/>
  <c r="B30" i="43"/>
  <c r="B70" i="46" l="1"/>
  <c r="C35" i="46"/>
  <c r="C71" i="46" l="1"/>
  <c r="C76" i="46" s="1"/>
  <c r="C77" i="46" s="1"/>
  <c r="C36" i="46"/>
  <c r="C37" i="46"/>
  <c r="D39" i="46" l="1"/>
  <c r="C70" i="46"/>
  <c r="D40" i="46" l="1"/>
  <c r="D71" i="46"/>
  <c r="D76" i="46" s="1"/>
  <c r="D77" i="46" s="1"/>
  <c r="D41" i="46"/>
  <c r="D70" i="46" l="1"/>
  <c r="E43" i="46"/>
  <c r="E44" i="46" l="1"/>
  <c r="E71" i="46"/>
  <c r="E76" i="46" s="1"/>
  <c r="E77" i="46" s="1"/>
  <c r="E45" i="46"/>
  <c r="E70" i="46" l="1"/>
  <c r="F47" i="46"/>
  <c r="F48" i="46" l="1"/>
  <c r="F71" i="46"/>
  <c r="F76" i="46" s="1"/>
  <c r="F77" i="46" s="1"/>
  <c r="F49" i="46"/>
  <c r="G51" i="46" l="1"/>
  <c r="F70" i="46"/>
  <c r="G71" i="46" l="1"/>
  <c r="G76" i="46" s="1"/>
  <c r="G77" i="46" s="1"/>
  <c r="G52" i="46"/>
  <c r="G53" i="46"/>
  <c r="G70" i="46" l="1"/>
  <c r="H55" i="46"/>
  <c r="H56" i="46" l="1"/>
  <c r="H71" i="46"/>
  <c r="H76" i="46" s="1"/>
  <c r="H77" i="46" s="1"/>
  <c r="H57" i="46"/>
  <c r="I59" i="46" l="1"/>
  <c r="H70" i="46"/>
  <c r="I71" i="46" l="1"/>
  <c r="I76" i="46" s="1"/>
  <c r="I77" i="46" s="1"/>
  <c r="I60" i="46"/>
  <c r="I61" i="46"/>
  <c r="I70" i="46" l="1"/>
  <c r="J63" i="46"/>
  <c r="J64" i="46" s="1"/>
  <c r="J65" i="46" l="1"/>
</calcChain>
</file>

<file path=xl/comments1.xml><?xml version="1.0" encoding="utf-8"?>
<comments xmlns="http://schemas.openxmlformats.org/spreadsheetml/2006/main">
  <authors>
    <author>Legrady</author>
  </authors>
  <commentList>
    <comment ref="A30" authorId="0" shapeId="0">
      <text>
        <r>
          <rPr>
            <b/>
            <sz val="9"/>
            <color indexed="81"/>
            <rFont val="Tahoma"/>
            <family val="2"/>
          </rPr>
          <t>Legrady:</t>
        </r>
        <r>
          <rPr>
            <sz val="9"/>
            <color indexed="81"/>
            <rFont val="Tahoma"/>
            <family val="2"/>
          </rPr>
          <t xml:space="preserve">
Assumes 10 year valuation methodology from tab X.
</t>
        </r>
      </text>
    </comment>
  </commentList>
</comments>
</file>

<file path=xl/sharedStrings.xml><?xml version="1.0" encoding="utf-8"?>
<sst xmlns="http://schemas.openxmlformats.org/spreadsheetml/2006/main" count="827" uniqueCount="380">
  <si>
    <t>Revenues</t>
  </si>
  <si>
    <t>FY 2010</t>
  </si>
  <si>
    <t>Acher Daniels Midland</t>
  </si>
  <si>
    <t>FY 2009</t>
  </si>
  <si>
    <t>FY 2008</t>
  </si>
  <si>
    <t>FY 2007</t>
  </si>
  <si>
    <t>FY 2006</t>
  </si>
  <si>
    <t>FY 2005</t>
  </si>
  <si>
    <t xml:space="preserve"> </t>
  </si>
  <si>
    <t>Gross domestic product</t>
  </si>
  <si>
    <t>Agriculture, forestry, fishing, and hunting</t>
  </si>
  <si>
    <t>Farms</t>
  </si>
  <si>
    <t>Nondurable goods</t>
  </si>
  <si>
    <t>Accommodation and food services</t>
  </si>
  <si>
    <t>Kraft Foods</t>
  </si>
  <si>
    <t>General Mills</t>
  </si>
  <si>
    <t>Kellogg</t>
  </si>
  <si>
    <t>H.J. Heinz</t>
  </si>
  <si>
    <t>EBITDA</t>
  </si>
  <si>
    <t>EBITDA %</t>
  </si>
  <si>
    <t>EBIT</t>
  </si>
  <si>
    <t>Less Costs</t>
  </si>
  <si>
    <t>Discount Rate</t>
  </si>
  <si>
    <t>Free Cash Flows</t>
  </si>
  <si>
    <t>FY 2011</t>
  </si>
  <si>
    <t>Food Industry, Total</t>
  </si>
  <si>
    <t>Food Industry Revenue Forecasts</t>
  </si>
  <si>
    <t>Category I</t>
  </si>
  <si>
    <t>Category II</t>
  </si>
  <si>
    <t>Assessment</t>
  </si>
  <si>
    <t>Audit</t>
  </si>
  <si>
    <t>Certification</t>
  </si>
  <si>
    <t xml:space="preserve">IBA </t>
  </si>
  <si>
    <t>Total</t>
  </si>
  <si>
    <t>FY07</t>
  </si>
  <si>
    <t>FY08</t>
  </si>
  <si>
    <t>FY09</t>
  </si>
  <si>
    <t>FY10</t>
  </si>
  <si>
    <t>Number of Facilities</t>
  </si>
  <si>
    <t>Food products</t>
  </si>
  <si>
    <t>Restaurants</t>
  </si>
  <si>
    <r>
      <t>POISON</t>
    </r>
    <r>
      <rPr>
        <sz val="11"/>
        <color rgb="FF000000"/>
        <rFont val="Calibri"/>
        <family val="2"/>
      </rPr>
      <t>™</t>
    </r>
  </si>
  <si>
    <r>
      <t>Food Mapper</t>
    </r>
    <r>
      <rPr>
        <sz val="11"/>
        <color rgb="FF000000"/>
        <rFont val="Calibri"/>
        <family val="2"/>
      </rPr>
      <t>™</t>
    </r>
  </si>
  <si>
    <r>
      <t>Food SafetyTQ</t>
    </r>
    <r>
      <rPr>
        <sz val="11"/>
        <color rgb="FF000000"/>
        <rFont val="Calibri"/>
        <family val="2"/>
      </rPr>
      <t>™</t>
    </r>
  </si>
  <si>
    <r>
      <t>FEAST</t>
    </r>
    <r>
      <rPr>
        <sz val="11"/>
        <color rgb="FF000000"/>
        <rFont val="Calibri"/>
        <family val="2"/>
      </rPr>
      <t>™</t>
    </r>
  </si>
  <si>
    <r>
      <t>FREE</t>
    </r>
    <r>
      <rPr>
        <sz val="11"/>
        <color rgb="FF000000"/>
        <rFont val="Calibri"/>
        <family val="2"/>
      </rPr>
      <t>™</t>
    </r>
  </si>
  <si>
    <t>Food DefenseTQ™</t>
  </si>
  <si>
    <t>$ thousands</t>
  </si>
  <si>
    <t>TQ as Percent of SAI-Global Revenues</t>
  </si>
  <si>
    <t>TQ as Percent of SAI-Global EBITDA</t>
  </si>
  <si>
    <t>SALES</t>
  </si>
  <si>
    <t>PROFITS</t>
  </si>
  <si>
    <t>Size of the Food Industry</t>
  </si>
  <si>
    <t>Food Poisoning</t>
  </si>
  <si>
    <t>Intentional Attacks</t>
  </si>
  <si>
    <t>Natural Disasters</t>
  </si>
  <si>
    <t>Prices of ThoughtQuest Solutions</t>
  </si>
  <si>
    <t>EBITDA Projections</t>
  </si>
  <si>
    <t>VALUATION</t>
  </si>
  <si>
    <t>Back to Index</t>
  </si>
  <si>
    <r>
      <t>FREE</t>
    </r>
    <r>
      <rPr>
        <u/>
        <sz val="11"/>
        <color rgb="FF000000"/>
        <rFont val="Calibri"/>
        <family val="2"/>
      </rPr>
      <t>™</t>
    </r>
  </si>
  <si>
    <t>Food Industry as % of U.S. GDP</t>
  </si>
  <si>
    <t>Penetration Rates for New Sales</t>
  </si>
  <si>
    <t>High</t>
  </si>
  <si>
    <t xml:space="preserve">Medium </t>
  </si>
  <si>
    <t>Low</t>
  </si>
  <si>
    <t>CHOSEN</t>
  </si>
  <si>
    <t>Range of Assumptions</t>
  </si>
  <si>
    <t>X=</t>
  </si>
  <si>
    <t>Subtotal</t>
  </si>
  <si>
    <t>Total Food Safety Spending in 2010</t>
  </si>
  <si>
    <t xml:space="preserve">Equipment Failures </t>
  </si>
  <si>
    <t>Industrial Accidents</t>
  </si>
  <si>
    <t>Food Defense Spending as Percentage of Industry Revenues</t>
  </si>
  <si>
    <t>Recent Performance of the Five Largest U.S Food Companies by Market Capitalization</t>
  </si>
  <si>
    <t>Source: Wall Street Journal</t>
  </si>
  <si>
    <t>Source: Wall Street Journal, Thomson Financial</t>
  </si>
  <si>
    <t>'05-'09</t>
  </si>
  <si>
    <t xml:space="preserve">CAGR </t>
  </si>
  <si>
    <t>'07-'11</t>
  </si>
  <si>
    <t>CAGR</t>
  </si>
  <si>
    <t xml:space="preserve">10-Year Average Food Industry Growth </t>
  </si>
  <si>
    <t>Acutual and Forecasted Earnings per Share for Five Largest Food Companies</t>
  </si>
  <si>
    <t>EPS</t>
  </si>
  <si>
    <t>ADM</t>
  </si>
  <si>
    <t>Penetration in 2011</t>
  </si>
  <si>
    <t>Market Penetration Rates</t>
  </si>
  <si>
    <t xml:space="preserve">% INCREASE in Penetration, 2012-2014 </t>
  </si>
  <si>
    <t>% INCREASE in Penetration, 2015-2017</t>
  </si>
  <si>
    <t>% INCREASE in Penetration, 2018-2020</t>
  </si>
  <si>
    <t>Number of Products</t>
  </si>
  <si>
    <t>Total Potential Unit Sales Yearly</t>
  </si>
  <si>
    <t>Subtotal Potential Unit Sales Yearly</t>
  </si>
  <si>
    <t>NEW Unit Sales</t>
  </si>
  <si>
    <t>Total New Unit Sales</t>
  </si>
  <si>
    <t>Percent of Potential New Unit Sales Yearly</t>
  </si>
  <si>
    <t>Initial Fees</t>
  </si>
  <si>
    <t xml:space="preserve">     Category I</t>
  </si>
  <si>
    <t xml:space="preserve">     Category II</t>
  </si>
  <si>
    <t>TOTAL REVENUES</t>
  </si>
  <si>
    <t>Total Revenues</t>
  </si>
  <si>
    <t>Breakdown by Revenue Type</t>
  </si>
  <si>
    <t>Annual Fees from Sales in Current Year</t>
  </si>
  <si>
    <t>Initial Fees from Sales in Current Year</t>
  </si>
  <si>
    <t>Annual fees from Sales in Prior Years</t>
  </si>
  <si>
    <t>SAI Global-TQ Revenues by Type</t>
  </si>
  <si>
    <t>Net Revenues</t>
  </si>
  <si>
    <t>Gross Profit</t>
  </si>
  <si>
    <t>Less: Direct Costs</t>
  </si>
  <si>
    <t>Less: Overheads</t>
  </si>
  <si>
    <t>Ratio Analysis</t>
  </si>
  <si>
    <t>Gross Margin %</t>
  </si>
  <si>
    <t>SAI Segment Analysis in FY10</t>
  </si>
  <si>
    <t>Growth Rates</t>
  </si>
  <si>
    <t>-</t>
  </si>
  <si>
    <t>Information</t>
  </si>
  <si>
    <t>Compliance</t>
  </si>
  <si>
    <t>Assurance</t>
  </si>
  <si>
    <t>Profit Margins by Product</t>
  </si>
  <si>
    <t xml:space="preserve">Range of Assumptions, 2012-2014 </t>
  </si>
  <si>
    <t>Range of Assumptions, 2015-2017</t>
  </si>
  <si>
    <t>Range of Assumptions, 2018-2020</t>
  </si>
  <si>
    <t>Range of Assumptions, 2011</t>
  </si>
  <si>
    <t>SAI Global-TQ EBITDA by Product</t>
  </si>
  <si>
    <t>Market Penetration, In Year</t>
  </si>
  <si>
    <t>Market Penetration, Cumulative</t>
  </si>
  <si>
    <t>'07-'10</t>
  </si>
  <si>
    <t>SAI Global Revenue Growth without TQ</t>
  </si>
  <si>
    <t>SAI Global EBITDA Growth without TQ</t>
  </si>
  <si>
    <t>Terminal Growth Rate in Perpetuity</t>
  </si>
  <si>
    <t>Discounted Cash Flow Valuation: Inputs</t>
  </si>
  <si>
    <t>Index</t>
  </si>
  <si>
    <t>Present Value of Annual Cash Flows</t>
  </si>
  <si>
    <t>Total Present Value TQ in SAI-Global</t>
  </si>
  <si>
    <t>Year</t>
  </si>
  <si>
    <t>Graphs</t>
  </si>
  <si>
    <t>ANALYSIS</t>
  </si>
  <si>
    <t>New Unit Sales Yearly</t>
  </si>
  <si>
    <t>EBITDA Assumptions</t>
  </si>
  <si>
    <t>FINANCING</t>
  </si>
  <si>
    <t>Initial Fee</t>
  </si>
  <si>
    <t>Annual Fee</t>
  </si>
  <si>
    <t>Benefits</t>
  </si>
  <si>
    <t>Assessments</t>
  </si>
  <si>
    <t>Audits</t>
  </si>
  <si>
    <t>Certifications</t>
  </si>
  <si>
    <t>Category I and Category II</t>
  </si>
  <si>
    <t>SAI Global-TQ Total Revenue Projections</t>
  </si>
  <si>
    <t>Market Penetration in 2011</t>
  </si>
  <si>
    <t>Revenue</t>
  </si>
  <si>
    <t>Purchase Price</t>
  </si>
  <si>
    <t>SAI Global - Recent EPS</t>
  </si>
  <si>
    <t>Tab</t>
  </si>
  <si>
    <t>Discounted Cash Flow Valuation: Outputs</t>
  </si>
  <si>
    <t>Basic EPS</t>
  </si>
  <si>
    <t>Basic EPS as Percentage of EBITDA</t>
  </si>
  <si>
    <t>Average</t>
  </si>
  <si>
    <t>SAI Global - Forecasted EPS  without TQ</t>
  </si>
  <si>
    <t>Forecasted EPS Accretion (Dilution)</t>
  </si>
  <si>
    <t>EBITDA Deletion in Year</t>
  </si>
  <si>
    <t>Purchase Price Remaining EOY</t>
  </si>
  <si>
    <t>EBITDA In-Year Balance at EOY</t>
  </si>
  <si>
    <t>EBITDA Available for Deletion</t>
  </si>
  <si>
    <t>Purchase Price Balance</t>
  </si>
  <si>
    <t>EBITDA towards Purchase Price</t>
  </si>
  <si>
    <t>Adjusted EPS</t>
  </si>
  <si>
    <t>Adjustments for Purchase Price</t>
  </si>
  <si>
    <t>forecasting</t>
  </si>
  <si>
    <t>ThoughtQuest Intellectual Property</t>
  </si>
  <si>
    <t>Current assets</t>
  </si>
  <si>
    <t>Receivables</t>
  </si>
  <si>
    <t>Inventories</t>
  </si>
  <si>
    <t>Non-current assets</t>
  </si>
  <si>
    <t>Investments</t>
  </si>
  <si>
    <t>Plant &amp; equipment</t>
  </si>
  <si>
    <t>Deferred tax assets</t>
  </si>
  <si>
    <t>Total non-current assets</t>
  </si>
  <si>
    <t>Total current assets</t>
  </si>
  <si>
    <t>ASSETS</t>
  </si>
  <si>
    <t>LIABILITIES</t>
  </si>
  <si>
    <t>Current liabilities</t>
  </si>
  <si>
    <t>Payables</t>
  </si>
  <si>
    <t>Borrowings</t>
  </si>
  <si>
    <t>Current tax liabilities</t>
  </si>
  <si>
    <t>Provisions</t>
  </si>
  <si>
    <t>Total current liabilities</t>
  </si>
  <si>
    <t>Non-current liabilities</t>
  </si>
  <si>
    <t>Deferred tax liabilities</t>
  </si>
  <si>
    <t>Derivatives</t>
  </si>
  <si>
    <t>Pension obligations</t>
  </si>
  <si>
    <t>Total liabilities</t>
  </si>
  <si>
    <t>EQUITY</t>
  </si>
  <si>
    <t>Contributed equity</t>
  </si>
  <si>
    <t>Reserves</t>
  </si>
  <si>
    <t>Retained profits</t>
  </si>
  <si>
    <t>Total capital to owners</t>
  </si>
  <si>
    <t>Non-controlling interest</t>
  </si>
  <si>
    <t>Total equity</t>
  </si>
  <si>
    <t>Total non-current liabilities</t>
  </si>
  <si>
    <t>Total assets</t>
  </si>
  <si>
    <t>Intangible assets</t>
  </si>
  <si>
    <t>Proceedings from borrowings</t>
  </si>
  <si>
    <t>Repayments of borrowings</t>
  </si>
  <si>
    <t>Dividends paid</t>
  </si>
  <si>
    <t>Acquisitions</t>
  </si>
  <si>
    <t>Non-controlling interests</t>
  </si>
  <si>
    <t>Cash Flow Statement - Financing</t>
  </si>
  <si>
    <t xml:space="preserve">Current Assets / Current Liabilities </t>
  </si>
  <si>
    <t>Revenues / Assets</t>
  </si>
  <si>
    <t xml:space="preserve">Rising current ratio indicates improving short-term financial position on the part of SAI-Global. </t>
  </si>
  <si>
    <t>Rising asset turnover ratio indicates the SAI-Global is using its assets with improving efficacy.</t>
  </si>
  <si>
    <t>Debt / Assets</t>
  </si>
  <si>
    <t>SAI-Global quintupled the amount of debt on its balance sheet between 2007 and 2010.</t>
  </si>
  <si>
    <t xml:space="preserve">Debt / Equity </t>
  </si>
  <si>
    <t>the Financial Performance of</t>
  </si>
  <si>
    <t>Intangible Assets / Total Assets</t>
  </si>
  <si>
    <t>A significant but declining portion of SAI-Global's assets can be monetized easily.</t>
  </si>
  <si>
    <t>EBITDA / Revenues</t>
  </si>
  <si>
    <t>SAI Global's Recent Income Statement Data</t>
  </si>
  <si>
    <t>Acquisitions / Revenues</t>
  </si>
  <si>
    <t xml:space="preserve">A small fraction of SAI-Global's turnover has been spent on acquisitions. </t>
  </si>
  <si>
    <t>Net cash outflow from financing</t>
  </si>
  <si>
    <t>New Long Term Loans / Total Revenues</t>
  </si>
  <si>
    <t xml:space="preserve">The growth of SAI-Global's borrowing has not been as fast as its total revenues. </t>
  </si>
  <si>
    <t>Balance Sheet</t>
  </si>
  <si>
    <t>SAI-Global Financial Statement Data</t>
  </si>
  <si>
    <t>Cash Flow Statement Data</t>
  </si>
  <si>
    <t>Cash Flow Statement - Investing</t>
  </si>
  <si>
    <t>Multivariate Financial Model</t>
  </si>
  <si>
    <t>January 2007</t>
  </si>
  <si>
    <t xml:space="preserve">Ethics Learning Solutions Corp. </t>
  </si>
  <si>
    <t>February 2008</t>
  </si>
  <si>
    <t>Quality Management Institute</t>
  </si>
  <si>
    <t>October 2009</t>
  </si>
  <si>
    <t>Cintellate</t>
  </si>
  <si>
    <t>July 2010</t>
  </si>
  <si>
    <t>Integrity Interactive</t>
  </si>
  <si>
    <t>Date</t>
  </si>
  <si>
    <t>Target</t>
  </si>
  <si>
    <t>Acquisition of Integrity Interactive</t>
  </si>
  <si>
    <t>July 22, 2010</t>
  </si>
  <si>
    <t>July 26, 2010</t>
  </si>
  <si>
    <t>Registration for new equity raise</t>
  </si>
  <si>
    <t>August 23, 2010</t>
  </si>
  <si>
    <t>Equity raise completed</t>
  </si>
  <si>
    <t>September 10, 2010</t>
  </si>
  <si>
    <t>Acquisition closed</t>
  </si>
  <si>
    <t>Timeline</t>
  </si>
  <si>
    <t>Enterprise Value</t>
  </si>
  <si>
    <r>
      <t xml:space="preserve">Structure, </t>
    </r>
    <r>
      <rPr>
        <i/>
        <sz val="11"/>
        <color theme="1"/>
        <rFont val="Calibri"/>
        <family val="2"/>
        <scheme val="minor"/>
      </rPr>
      <t>$ AUD millions</t>
    </r>
  </si>
  <si>
    <r>
      <t xml:space="preserve">Target, </t>
    </r>
    <r>
      <rPr>
        <i/>
        <sz val="11"/>
        <color theme="1"/>
        <rFont val="Calibri"/>
        <family val="2"/>
        <scheme val="minor"/>
      </rPr>
      <t>$ US millions</t>
    </r>
  </si>
  <si>
    <t>Revenues at 30% EBITDA (est.)</t>
  </si>
  <si>
    <t>New debt from existing banks</t>
  </si>
  <si>
    <t>Total Enterprise Value (EV)</t>
  </si>
  <si>
    <t>Entitlement offer</t>
  </si>
  <si>
    <t>EBITDA at 8X EV/EBITDA (est.)</t>
  </si>
  <si>
    <t>in $ US millions</t>
  </si>
  <si>
    <t>Other SAI-Global Acquisitions since 2007</t>
  </si>
  <si>
    <t>SAI-Global has proven that it can raise debt and equity capital to fund large transactions.</t>
  </si>
  <si>
    <t>SAI-Global Trailing Financial Performance</t>
  </si>
  <si>
    <t xml:space="preserve">Category I Facilities </t>
  </si>
  <si>
    <t xml:space="preserve">Category II Facilities </t>
  </si>
  <si>
    <t>Current Spending on Review</t>
  </si>
  <si>
    <t>Current Spending on Losses</t>
  </si>
  <si>
    <t>Per facility per year</t>
  </si>
  <si>
    <t xml:space="preserve">Spending </t>
  </si>
  <si>
    <t>on Losses</t>
  </si>
  <si>
    <t>Spending</t>
  </si>
  <si>
    <t>on Reviews</t>
  </si>
  <si>
    <t>Current Spending on Reviews</t>
  </si>
  <si>
    <t>Size of the Food Defense Market</t>
  </si>
  <si>
    <t>Spending per Facility on Food Defense</t>
  </si>
  <si>
    <t>'04-'09</t>
  </si>
  <si>
    <t>Source: Bureau of Economic Analysis, U.S. Department of Commerce, 9/30/10</t>
  </si>
  <si>
    <t>Spending on Reviews</t>
  </si>
  <si>
    <t>Assumes steady number of potential new sales as years progress despite prior sales.  Also does not account for attrition.</t>
  </si>
  <si>
    <t>Currency conversions throughout this model assume a steady conversion rate at the given price.</t>
  </si>
  <si>
    <t>The forecasting of SAI-Global's financial assumes future performance at growth rates experienced previously by the company (see slide 13).</t>
  </si>
  <si>
    <t>Taxes as % of EBITDA</t>
  </si>
  <si>
    <t>Net working capital as % of Revenues</t>
  </si>
  <si>
    <t>MARKET</t>
  </si>
  <si>
    <t>Market</t>
  </si>
  <si>
    <t>FORECASTS</t>
  </si>
  <si>
    <t>Valuation</t>
  </si>
  <si>
    <t>Number of Type I Facilities</t>
  </si>
  <si>
    <t>Number of Type II Facilities</t>
  </si>
  <si>
    <t>SAI Global Forecasts and EPS Dilution</t>
  </si>
  <si>
    <t>$ US</t>
  </si>
  <si>
    <t>$ US millions</t>
  </si>
  <si>
    <r>
      <t>Total by Category (</t>
    </r>
    <r>
      <rPr>
        <i/>
        <sz val="11"/>
        <color theme="1"/>
        <rFont val="Calibri"/>
        <family val="2"/>
        <scheme val="minor"/>
      </rPr>
      <t>$US billions)</t>
    </r>
  </si>
  <si>
    <r>
      <t xml:space="preserve">Total </t>
    </r>
    <r>
      <rPr>
        <i/>
        <sz val="11"/>
        <color theme="1"/>
        <rFont val="Calibri"/>
        <family val="2"/>
        <scheme val="minor"/>
      </rPr>
      <t>($US billions)</t>
    </r>
  </si>
  <si>
    <t>$ US Billions</t>
  </si>
  <si>
    <r>
      <t>Revenues</t>
    </r>
    <r>
      <rPr>
        <b/>
        <i/>
        <sz val="11"/>
        <color theme="1"/>
        <rFont val="Calibri"/>
        <family val="2"/>
        <scheme val="minor"/>
      </rPr>
      <t xml:space="preserve"> </t>
    </r>
    <r>
      <rPr>
        <i/>
        <sz val="11"/>
        <color theme="1"/>
        <rFont val="Calibri"/>
        <family val="2"/>
        <scheme val="minor"/>
      </rPr>
      <t>($ US thousands)</t>
    </r>
  </si>
  <si>
    <t>$ US thousands</t>
  </si>
  <si>
    <t>Source: SAI-Global Financial Statements</t>
  </si>
  <si>
    <t>$ AUD thousands</t>
  </si>
  <si>
    <t>These EBITDA projections assume that no further investment by SAI-Global is necessary to create desired results; all growth is based on iinternal cash flows.</t>
  </si>
  <si>
    <t>$ US millions at $1USD = $1.1AUD</t>
  </si>
  <si>
    <t>These forecasts assume no additional benefit to SAI-Global from the acquisition, such as cost synergies or any impact on the growth of SAI-Global's existing businesses.</t>
  </si>
  <si>
    <t>Less: Taxes</t>
  </si>
  <si>
    <t>Less: Change in Net Working Capital</t>
  </si>
  <si>
    <t xml:space="preserve">Although there are many ways to value a business, discounting cash flows is the most basic and often the most used. </t>
  </si>
  <si>
    <t>A basic assumption behind this model says that discounting future cash flows should be the basis of valuing a potential transaction.</t>
  </si>
  <si>
    <t>Public market multiples, book values, and other methodologies are not as relevant.</t>
  </si>
  <si>
    <t xml:space="preserve">Given the lack of comparable transactions available in the marketplace, valuing ThoughtQuest's intellectual property using similar acquisitions is not feasible.  </t>
  </si>
  <si>
    <t>Percentage of Terminal Value in Present Value</t>
  </si>
  <si>
    <t>SAI-Global Forecasts without TQ</t>
  </si>
  <si>
    <t>SAI-Global Forecasts with TQ</t>
  </si>
  <si>
    <t>Adjusted EBITDA given Acquisition</t>
  </si>
  <si>
    <t>This purchase price reflects the ten-year DCF methodology described on tab 16.</t>
  </si>
  <si>
    <t>These EPS forecasts assume no substantive changes to SAI-Global's existing lines of business other than the acquisition.</t>
  </si>
  <si>
    <t>These EPS forecasts also assume no additional shares added to the company's ownership structure.</t>
  </si>
  <si>
    <t>Source: SAI-Global Investor Information.</t>
  </si>
  <si>
    <t>Summary of Assumptions</t>
  </si>
  <si>
    <t>Summary of Conclusions</t>
  </si>
  <si>
    <t>Savings from Losses</t>
  </si>
  <si>
    <t>Savings from Reviews</t>
  </si>
  <si>
    <t>ROI of Customer Purchases in First Year</t>
  </si>
  <si>
    <t>The shade of these cells correspond with the color of the shade of tabs below</t>
  </si>
  <si>
    <t>Market Penetration</t>
  </si>
  <si>
    <t>'18-'20</t>
  </si>
  <si>
    <t>Annual Fees</t>
  </si>
  <si>
    <t>Relative Revenue and EBITDA Growth</t>
  </si>
  <si>
    <t>SAI-Global Growth without TQ</t>
  </si>
  <si>
    <t>Assumptions for NPV Analysis</t>
  </si>
  <si>
    <t>SAI-Global - EPS Forecasts</t>
  </si>
  <si>
    <t>SAI-Global EPS as % of EBITDA</t>
  </si>
  <si>
    <r>
      <t>Food DefenseTQ</t>
    </r>
    <r>
      <rPr>
        <sz val="11"/>
        <color rgb="FF000000"/>
        <rFont val="Calibri"/>
        <family val="2"/>
      </rPr>
      <t>™</t>
    </r>
  </si>
  <si>
    <t>Forecasted Food Industry Growth</t>
  </si>
  <si>
    <t>Initial</t>
  </si>
  <si>
    <t>Annual</t>
  </si>
  <si>
    <t>$ US Millions</t>
  </si>
  <si>
    <t>Valuation as Percentage of SAI-Global Market Capitalization</t>
  </si>
  <si>
    <t>SAI Global Market Capitalization</t>
  </si>
  <si>
    <t>Source: Australian Stock Exchange as of December 10, 2010</t>
  </si>
  <si>
    <t>Method 1</t>
  </si>
  <si>
    <t>Method 2</t>
  </si>
  <si>
    <t>Method 3</t>
  </si>
  <si>
    <t>Valuation as Percentage of SAI-Global Total Assets</t>
  </si>
  <si>
    <t>Relative Size of Transaction</t>
  </si>
  <si>
    <t>$  US Billions</t>
  </si>
  <si>
    <t>Food Safety Spending Forecasts</t>
  </si>
  <si>
    <t>Industry Growth Forecasts</t>
  </si>
  <si>
    <t>New Sales as Percent of Food Defense Spending</t>
  </si>
  <si>
    <t>Cumulative Unit Sales as Percent of Market</t>
  </si>
  <si>
    <t>SAI-Global-TQ Market Penetration</t>
  </si>
  <si>
    <t>SAI-Global-TQ Revenue Composition</t>
  </si>
  <si>
    <t>SAI-Global Growth from Acquisition</t>
  </si>
  <si>
    <t>Comments</t>
  </si>
  <si>
    <t xml:space="preserve">SAI-Global's lenders own increasingly more of the company than its shareholders. </t>
  </si>
  <si>
    <t>Kraft</t>
  </si>
  <si>
    <t>Gen Mills</t>
  </si>
  <si>
    <t>SAI Global - Forecasted EPS with TQ Pre-Dilution</t>
  </si>
  <si>
    <t>All of the graphs on this tab are contained elsewhere in this file.</t>
  </si>
  <si>
    <t>Y=</t>
  </si>
  <si>
    <t>Terminal Value ("Residual Value")</t>
  </si>
  <si>
    <t>This model assumes an acquisition on the part of SAI-Global of ThoughtQuest's intellectual property.</t>
  </si>
  <si>
    <t>It does not assume and licensing arrangement, which would be structured much differently.</t>
  </si>
  <si>
    <t>Financial Projections</t>
  </si>
  <si>
    <t>10 Years of Cash Flows</t>
  </si>
  <si>
    <t>5 Years of Cash Flows</t>
  </si>
  <si>
    <t>Valuation on 10 Years of Cash Flows</t>
  </si>
  <si>
    <t>Present Value of Total Annual Cash Flows</t>
  </si>
  <si>
    <t>Valuation on 5 Years of Cash Flows</t>
  </si>
  <si>
    <t>5 Years of Cash Flows Beginning in 2016</t>
  </si>
  <si>
    <t>Spending on Losses</t>
  </si>
  <si>
    <r>
      <t>Food MapperTQ</t>
    </r>
    <r>
      <rPr>
        <sz val="11"/>
        <color rgb="FF000000"/>
        <rFont val="Calibri"/>
        <family val="2"/>
      </rPr>
      <t>™</t>
    </r>
  </si>
  <si>
    <t>SAI-Global Historical Financials</t>
  </si>
  <si>
    <t>Valuation as Percentage of Integrity Interactive Acquisition</t>
  </si>
  <si>
    <t>Does not include four transactions less than $5 million</t>
  </si>
  <si>
    <t>Announcement of intent to acquire</t>
  </si>
  <si>
    <t>Institutional offer</t>
  </si>
  <si>
    <t>SAI Global's profit margins have remained essentially flat as the company has levered up.</t>
  </si>
  <si>
    <t>ROI</t>
  </si>
  <si>
    <t>Pricing</t>
  </si>
  <si>
    <t>'12-'14</t>
  </si>
  <si>
    <t>'15-'17</t>
  </si>
  <si>
    <t>Difference in EBITDA with TQ</t>
  </si>
  <si>
    <t>The value of Projectioneering's intellectual property is not incorporated into this valuation.</t>
  </si>
  <si>
    <t xml:space="preserve">© ThoughtQuest LLC 2011.  All Rights Reserved.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</si>
</sst>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0.0"/>
    <numFmt numFmtId="169" formatCode="&quot;$&quot;#,##0.0_);[Red]\(&quot;$&quot;#,##0.0\)"/>
    <numFmt numFmtId="170" formatCode="_(* #,##0_);_(* \(#,##0\);_(* &quot;-&quot;?_);_(@_)"/>
    <numFmt numFmtId="171" formatCode="_(&quot;$&quot;* #,##0.0_);_(&quot;$&quot;* \(#,##0.0\);_(&quot;$&quot;* &quot;-&quot;??_);_(@_)"/>
    <numFmt numFmtId="172" formatCode="_(&quot;$&quot;* #,##0_);_(&quot;$&quot;* \(#,##0\);_(&quot;$&quot;* &quot;-&quot;??_);_(@_)"/>
    <numFmt numFmtId="173" formatCode="_([$$-409]* #,##0_);_([$$-409]* \(#,##0\);_([$$-409]* &quot;-&quot;??_);_(@_)"/>
    <numFmt numFmtId="174" formatCode="0.000%"/>
    <numFmt numFmtId="175" formatCode="0.0_);[Red]\(0.0\)"/>
    <numFmt numFmtId="176" formatCode="&quot;$&quot;#,##0.0"/>
  </numFmts>
  <fonts count="44"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u/>
      <sz val="11"/>
      <color theme="1"/>
      <name val="Calibri"/>
      <family val="2"/>
      <scheme val="minor"/>
    </font>
    <font>
      <i/>
      <sz val="11"/>
      <color theme="1"/>
      <name val="Calibri"/>
      <family val="2"/>
      <scheme val="minor"/>
    </font>
    <font>
      <i/>
      <u/>
      <sz val="11"/>
      <color theme="1"/>
      <name val="Calibri"/>
      <family val="2"/>
      <scheme val="minor"/>
    </font>
    <font>
      <u val="singleAccounting"/>
      <sz val="11"/>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font>
    <font>
      <u/>
      <sz val="8.8000000000000007"/>
      <color theme="10"/>
      <name val="Calibri"/>
      <family val="2"/>
    </font>
    <font>
      <u/>
      <sz val="10"/>
      <color theme="10"/>
      <name val="Calibri"/>
      <family val="2"/>
    </font>
    <font>
      <u/>
      <sz val="11"/>
      <color rgb="FF000000"/>
      <name val="Calibri"/>
      <family val="2"/>
      <scheme val="minor"/>
    </font>
    <font>
      <u/>
      <sz val="11"/>
      <color rgb="FF000000"/>
      <name val="Calibri"/>
      <family val="2"/>
    </font>
    <font>
      <b/>
      <sz val="11"/>
      <color theme="0"/>
      <name val="Calibri"/>
      <family val="2"/>
      <scheme val="minor"/>
    </font>
    <font>
      <sz val="11"/>
      <color theme="0"/>
      <name val="Calibri"/>
      <family val="2"/>
      <scheme val="minor"/>
    </font>
    <font>
      <u val="singleAccounting"/>
      <sz val="11"/>
      <color theme="0"/>
      <name val="Calibri"/>
      <family val="2"/>
      <scheme val="minor"/>
    </font>
    <font>
      <sz val="8"/>
      <color theme="1"/>
      <name val="Calibri"/>
      <family val="2"/>
      <scheme val="minor"/>
    </font>
    <font>
      <i/>
      <sz val="11"/>
      <color rgb="FF000000"/>
      <name val="Calibri"/>
      <family val="2"/>
      <scheme val="minor"/>
    </font>
    <font>
      <sz val="11"/>
      <color rgb="FFFF0000"/>
      <name val="Calibri"/>
      <family val="2"/>
      <scheme val="minor"/>
    </font>
    <font>
      <sz val="9"/>
      <color indexed="81"/>
      <name val="Tahoma"/>
      <family val="2"/>
    </font>
    <font>
      <b/>
      <sz val="9"/>
      <color indexed="81"/>
      <name val="Tahoma"/>
      <family val="2"/>
    </font>
    <font>
      <sz val="14.3"/>
      <color rgb="FF000000"/>
      <name val="Arial"/>
      <family val="2"/>
    </font>
    <font>
      <sz val="11"/>
      <color theme="10"/>
      <name val="Calibri"/>
      <family val="2"/>
    </font>
    <font>
      <sz val="14"/>
      <color rgb="FF000000"/>
      <name val="Arial"/>
      <family val="2"/>
    </font>
    <font>
      <sz val="22"/>
      <color theme="0"/>
      <name val="Calibri"/>
      <family val="2"/>
      <scheme val="minor"/>
    </font>
    <font>
      <sz val="24"/>
      <color theme="0"/>
      <name val="Calibri"/>
      <family val="2"/>
      <scheme val="minor"/>
    </font>
    <font>
      <sz val="11"/>
      <color theme="0"/>
      <name val="Calibri"/>
      <family val="2"/>
    </font>
    <font>
      <sz val="10"/>
      <color theme="1"/>
      <name val="Calibri"/>
      <family val="2"/>
      <scheme val="minor"/>
    </font>
    <font>
      <i/>
      <sz val="10"/>
      <color theme="1"/>
      <name val="Calibri"/>
      <family val="2"/>
      <scheme val="minor"/>
    </font>
    <font>
      <i/>
      <sz val="9"/>
      <color theme="1"/>
      <name val="Calibri"/>
      <family val="2"/>
      <scheme val="minor"/>
    </font>
    <font>
      <sz val="11"/>
      <color rgb="FF0000FF"/>
      <name val="Calibri"/>
      <family val="2"/>
    </font>
    <font>
      <sz val="11"/>
      <color rgb="FF0000FF"/>
      <name val="Calibri"/>
      <family val="2"/>
      <scheme val="minor"/>
    </font>
    <font>
      <sz val="10"/>
      <color theme="0"/>
      <name val="Calibri"/>
      <family val="2"/>
      <scheme val="minor"/>
    </font>
    <font>
      <sz val="12"/>
      <color theme="0"/>
      <name val="Calibri"/>
      <family val="2"/>
      <scheme val="minor"/>
    </font>
    <font>
      <sz val="12"/>
      <color theme="1"/>
      <name val="Calibri"/>
      <family val="2"/>
      <scheme val="minor"/>
    </font>
    <font>
      <b/>
      <i/>
      <sz val="11"/>
      <color theme="1"/>
      <name val="Calibri"/>
      <family val="2"/>
      <scheme val="minor"/>
    </font>
    <font>
      <b/>
      <i/>
      <sz val="11"/>
      <color rgb="FF000000"/>
      <name val="Calibri"/>
      <family val="2"/>
      <scheme val="minor"/>
    </font>
    <font>
      <i/>
      <u/>
      <sz val="10"/>
      <color theme="10"/>
      <name val="Calibri"/>
      <family val="2"/>
    </font>
    <font>
      <sz val="9"/>
      <color theme="1"/>
      <name val="Arial"/>
      <family val="2"/>
    </font>
  </fonts>
  <fills count="10">
    <fill>
      <patternFill patternType="none"/>
    </fill>
    <fill>
      <patternFill patternType="gray125"/>
    </fill>
    <fill>
      <patternFill patternType="solid">
        <fgColor theme="6" tint="0.59999389629810485"/>
        <bgColor indexed="64"/>
      </patternFill>
    </fill>
    <fill>
      <patternFill patternType="solid">
        <fgColor rgb="FF00B050"/>
        <bgColor indexed="64"/>
      </patternFill>
    </fill>
    <fill>
      <patternFill patternType="solid">
        <fgColor rgb="FF7030A0"/>
        <bgColor indexed="64"/>
      </patternFill>
    </fill>
    <fill>
      <patternFill patternType="solid">
        <fgColor theme="9" tint="-0.249977111117893"/>
        <bgColor indexed="64"/>
      </patternFill>
    </fill>
    <fill>
      <patternFill patternType="solid">
        <fgColor rgb="FF29292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xf numFmtId="9" fontId="2" fillId="0" borderId="0" applyFont="0" applyFill="0" applyBorder="0" applyAlignment="0" applyProtection="0"/>
    <xf numFmtId="0" fontId="5"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44" fontId="2" fillId="0" borderId="0" applyFont="0" applyFill="0" applyBorder="0" applyAlignment="0" applyProtection="0"/>
  </cellStyleXfs>
  <cellXfs count="396">
    <xf numFmtId="0" fontId="0" fillId="0" borderId="0" xfId="0"/>
    <xf numFmtId="0" fontId="3" fillId="0" borderId="0" xfId="0" applyFont="1"/>
    <xf numFmtId="0" fontId="0" fillId="0" borderId="0" xfId="0" applyAlignment="1">
      <alignment horizontal="center"/>
    </xf>
    <xf numFmtId="0" fontId="0" fillId="0" borderId="0" xfId="0" applyFont="1"/>
    <xf numFmtId="0" fontId="0" fillId="0" borderId="0" xfId="0" applyFont="1" applyAlignment="1">
      <alignment horizontal="center"/>
    </xf>
    <xf numFmtId="9" fontId="0" fillId="0" borderId="0" xfId="1" applyFont="1"/>
    <xf numFmtId="0" fontId="0" fillId="0" borderId="1" xfId="0" applyFont="1" applyBorder="1"/>
    <xf numFmtId="3" fontId="4" fillId="0" borderId="1" xfId="0" applyNumberFormat="1" applyFont="1" applyBorder="1" applyAlignment="1">
      <alignment horizontal="right" wrapText="1"/>
    </xf>
    <xf numFmtId="0" fontId="4" fillId="0" borderId="1" xfId="0" applyFont="1" applyBorder="1" applyAlignment="1">
      <alignment horizontal="right" wrapText="1"/>
    </xf>
    <xf numFmtId="0" fontId="0" fillId="0" borderId="0" xfId="0" applyBorder="1" applyAlignment="1">
      <alignment horizontal="center"/>
    </xf>
    <xf numFmtId="1" fontId="0" fillId="0" borderId="0" xfId="0" applyNumberFormat="1"/>
    <xf numFmtId="3" fontId="0" fillId="0" borderId="0" xfId="0" applyNumberFormat="1" applyFont="1"/>
    <xf numFmtId="0" fontId="0" fillId="0" borderId="0" xfId="0" applyFont="1" applyFill="1" applyBorder="1" applyAlignment="1">
      <alignment wrapText="1"/>
    </xf>
    <xf numFmtId="0" fontId="6" fillId="0" borderId="0" xfId="0" applyFont="1" applyAlignment="1">
      <alignment horizontal="center"/>
    </xf>
    <xf numFmtId="166" fontId="0" fillId="0" borderId="0" xfId="3" applyNumberFormat="1" applyFont="1"/>
    <xf numFmtId="164" fontId="0" fillId="0" borderId="0" xfId="1" applyNumberFormat="1" applyFont="1"/>
    <xf numFmtId="165" fontId="0" fillId="0" borderId="0" xfId="0" applyNumberFormat="1"/>
    <xf numFmtId="0" fontId="0" fillId="0" borderId="1" xfId="0" applyBorder="1"/>
    <xf numFmtId="164" fontId="0" fillId="0" borderId="0" xfId="0" applyNumberFormat="1"/>
    <xf numFmtId="165" fontId="0" fillId="0" borderId="0" xfId="3" applyNumberFormat="1" applyFont="1"/>
    <xf numFmtId="0" fontId="7" fillId="0" borderId="0" xfId="0" applyFont="1"/>
    <xf numFmtId="9" fontId="0" fillId="0" borderId="0" xfId="0" applyNumberFormat="1" applyAlignment="1">
      <alignment horizontal="center"/>
    </xf>
    <xf numFmtId="0" fontId="0" fillId="0" borderId="0" xfId="0" applyBorder="1"/>
    <xf numFmtId="0" fontId="6" fillId="0" borderId="0" xfId="0" applyFont="1" applyBorder="1"/>
    <xf numFmtId="165" fontId="6" fillId="0" borderId="0" xfId="3" applyNumberFormat="1" applyFont="1"/>
    <xf numFmtId="165" fontId="6" fillId="0" borderId="0" xfId="0" applyNumberFormat="1" applyFont="1"/>
    <xf numFmtId="0" fontId="6" fillId="0" borderId="0" xfId="0" applyFont="1"/>
    <xf numFmtId="0" fontId="0" fillId="0" borderId="2" xfId="0" applyBorder="1" applyAlignment="1">
      <alignment horizontal="center"/>
    </xf>
    <xf numFmtId="0" fontId="10" fillId="0" borderId="0" xfId="0" applyFont="1" applyFill="1"/>
    <xf numFmtId="0" fontId="0" fillId="0" borderId="2" xfId="0" applyFont="1" applyBorder="1" applyAlignment="1">
      <alignment horizontal="center"/>
    </xf>
    <xf numFmtId="0" fontId="0" fillId="0" borderId="3" xfId="0" applyFont="1" applyBorder="1" applyAlignment="1">
      <alignment horizontal="center"/>
    </xf>
    <xf numFmtId="9" fontId="0" fillId="0" borderId="4" xfId="1" applyFont="1" applyBorder="1" applyAlignment="1">
      <alignment horizontal="center"/>
    </xf>
    <xf numFmtId="9" fontId="0" fillId="0" borderId="5" xfId="1" applyFont="1" applyBorder="1" applyAlignment="1">
      <alignment horizontal="center"/>
    </xf>
    <xf numFmtId="9" fontId="0" fillId="0" borderId="6" xfId="1" applyFont="1" applyBorder="1" applyAlignment="1">
      <alignment horizontal="center"/>
    </xf>
    <xf numFmtId="43" fontId="0" fillId="0" borderId="0" xfId="0" applyNumberFormat="1"/>
    <xf numFmtId="167" fontId="0" fillId="0" borderId="0" xfId="0" applyNumberFormat="1"/>
    <xf numFmtId="3" fontId="0" fillId="0" borderId="0" xfId="0" applyNumberFormat="1"/>
    <xf numFmtId="0" fontId="0" fillId="0" borderId="0" xfId="0" applyFill="1" applyBorder="1"/>
    <xf numFmtId="9" fontId="0" fillId="0" borderId="0" xfId="0" applyNumberFormat="1"/>
    <xf numFmtId="168" fontId="0" fillId="0" borderId="0" xfId="0" applyNumberFormat="1" applyFont="1"/>
    <xf numFmtId="0" fontId="0" fillId="0" borderId="0" xfId="0" applyFont="1" applyFill="1" applyBorder="1" applyAlignment="1"/>
    <xf numFmtId="0" fontId="4" fillId="0" borderId="0" xfId="0" applyFont="1" applyFill="1" applyBorder="1" applyAlignment="1">
      <alignment horizontal="left" vertical="center" readingOrder="1"/>
    </xf>
    <xf numFmtId="166" fontId="0" fillId="0" borderId="0" xfId="0" applyNumberFormat="1" applyFont="1" applyFill="1" applyBorder="1"/>
    <xf numFmtId="0" fontId="4" fillId="0" borderId="0" xfId="0" applyFont="1" applyFill="1" applyBorder="1" applyAlignment="1">
      <alignment horizontal="left" vertical="center" wrapText="1" indent="1" readingOrder="1"/>
    </xf>
    <xf numFmtId="0" fontId="12" fillId="0" borderId="0" xfId="0" applyFont="1" applyFill="1" applyBorder="1" applyAlignment="1">
      <alignment horizontal="left" vertical="center" wrapText="1" indent="1" readingOrder="1"/>
    </xf>
    <xf numFmtId="0" fontId="12" fillId="0" borderId="0" xfId="0" applyFont="1" applyFill="1" applyBorder="1" applyAlignment="1">
      <alignment horizontal="right" vertical="center" wrapText="1" indent="1" readingOrder="1"/>
    </xf>
    <xf numFmtId="166" fontId="0" fillId="0" borderId="0" xfId="0" applyNumberFormat="1" applyFont="1" applyFill="1" applyBorder="1" applyAlignment="1"/>
    <xf numFmtId="0" fontId="12" fillId="0" borderId="0" xfId="0" applyFont="1" applyFill="1" applyBorder="1" applyAlignment="1">
      <alignment horizontal="left" vertical="center" readingOrder="1"/>
    </xf>
    <xf numFmtId="3" fontId="0" fillId="0" borderId="0" xfId="0" applyNumberFormat="1" applyFont="1" applyFill="1" applyBorder="1" applyAlignment="1"/>
    <xf numFmtId="0" fontId="11" fillId="0" borderId="0" xfId="0" applyFont="1" applyFill="1" applyBorder="1" applyAlignment="1"/>
    <xf numFmtId="0" fontId="3" fillId="0" borderId="0" xfId="0" applyFont="1" applyFill="1" applyBorder="1" applyAlignment="1"/>
    <xf numFmtId="0" fontId="3" fillId="0" borderId="0" xfId="0" applyFont="1" applyFill="1" applyBorder="1"/>
    <xf numFmtId="166" fontId="0" fillId="0" borderId="1" xfId="3" applyNumberFormat="1" applyFont="1" applyBorder="1"/>
    <xf numFmtId="166" fontId="0" fillId="0" borderId="0" xfId="0" applyNumberFormat="1"/>
    <xf numFmtId="165" fontId="0" fillId="0" borderId="0" xfId="0" applyNumberFormat="1" applyFont="1" applyFill="1" applyBorder="1"/>
    <xf numFmtId="10" fontId="0" fillId="0" borderId="0" xfId="0" applyNumberFormat="1" applyFont="1"/>
    <xf numFmtId="0" fontId="15" fillId="0" borderId="0" xfId="7" applyFont="1" applyAlignment="1" applyProtection="1">
      <alignment horizontal="center"/>
    </xf>
    <xf numFmtId="6" fontId="0" fillId="2" borderId="5" xfId="0" applyNumberFormat="1" applyFill="1" applyBorder="1"/>
    <xf numFmtId="6" fontId="6" fillId="2" borderId="5" xfId="0" applyNumberFormat="1" applyFont="1" applyFill="1" applyBorder="1"/>
    <xf numFmtId="0" fontId="15" fillId="0" borderId="0" xfId="7" applyFont="1" applyAlignment="1" applyProtection="1">
      <alignment horizontal="left"/>
    </xf>
    <xf numFmtId="0" fontId="16" fillId="0" borderId="0" xfId="0" applyFont="1" applyFill="1" applyBorder="1" applyAlignment="1">
      <alignment horizontal="left" vertical="center" readingOrder="1"/>
    </xf>
    <xf numFmtId="166" fontId="6" fillId="0" borderId="0" xfId="3" applyNumberFormat="1" applyFont="1"/>
    <xf numFmtId="0" fontId="4" fillId="0" borderId="0" xfId="0" applyFont="1" applyFill="1" applyBorder="1" applyAlignment="1">
      <alignment vertical="center" readingOrder="1"/>
    </xf>
    <xf numFmtId="0" fontId="4" fillId="0" borderId="0" xfId="0" applyFont="1" applyFill="1" applyBorder="1" applyAlignment="1">
      <alignment vertical="center" wrapText="1" readingOrder="1"/>
    </xf>
    <xf numFmtId="10" fontId="0" fillId="0" borderId="0" xfId="0" applyNumberFormat="1"/>
    <xf numFmtId="3" fontId="11" fillId="2" borderId="2" xfId="0" applyNumberFormat="1" applyFont="1" applyFill="1" applyBorder="1" applyAlignment="1">
      <alignment horizontal="center"/>
    </xf>
    <xf numFmtId="3" fontId="11" fillId="2" borderId="7" xfId="0" applyNumberFormat="1" applyFont="1" applyFill="1" applyBorder="1" applyAlignment="1">
      <alignment horizontal="center"/>
    </xf>
    <xf numFmtId="166" fontId="19" fillId="3" borderId="8" xfId="3" applyNumberFormat="1" applyFont="1" applyFill="1" applyBorder="1"/>
    <xf numFmtId="166" fontId="19" fillId="3" borderId="13" xfId="3" applyNumberFormat="1" applyFont="1" applyFill="1" applyBorder="1"/>
    <xf numFmtId="172" fontId="10" fillId="0" borderId="1" xfId="8" applyNumberFormat="1" applyFont="1" applyFill="1" applyBorder="1"/>
    <xf numFmtId="172" fontId="10" fillId="0" borderId="6" xfId="8" applyNumberFormat="1" applyFont="1" applyFill="1" applyBorder="1"/>
    <xf numFmtId="0" fontId="0" fillId="0" borderId="13" xfId="0" applyBorder="1"/>
    <xf numFmtId="0" fontId="0" fillId="0" borderId="11" xfId="0" applyBorder="1"/>
    <xf numFmtId="6" fontId="0" fillId="2" borderId="15" xfId="0" applyNumberFormat="1" applyFill="1" applyBorder="1"/>
    <xf numFmtId="0" fontId="18" fillId="3" borderId="3" xfId="0" applyFont="1" applyFill="1" applyBorder="1" applyAlignment="1">
      <alignment horizontal="center"/>
    </xf>
    <xf numFmtId="0" fontId="18" fillId="4" borderId="14" xfId="0" applyFont="1" applyFill="1" applyBorder="1" applyAlignment="1">
      <alignment horizontal="center"/>
    </xf>
    <xf numFmtId="0" fontId="18" fillId="5" borderId="7" xfId="0" applyFont="1" applyFill="1" applyBorder="1" applyAlignment="1">
      <alignment horizontal="center"/>
    </xf>
    <xf numFmtId="6" fontId="0" fillId="2" borderId="4" xfId="0" applyNumberFormat="1" applyFill="1" applyBorder="1"/>
    <xf numFmtId="172" fontId="10" fillId="0" borderId="11" xfId="8" applyNumberFormat="1" applyFont="1" applyFill="1" applyBorder="1"/>
    <xf numFmtId="0" fontId="0" fillId="0" borderId="9" xfId="0" applyBorder="1"/>
    <xf numFmtId="166" fontId="3" fillId="2" borderId="2" xfId="3" applyNumberFormat="1" applyFont="1" applyFill="1" applyBorder="1" applyAlignment="1">
      <alignment horizontal="center"/>
    </xf>
    <xf numFmtId="173" fontId="19" fillId="3" borderId="0" xfId="8" applyNumberFormat="1" applyFont="1" applyFill="1" applyBorder="1"/>
    <xf numFmtId="173" fontId="19" fillId="4" borderId="0" xfId="8" applyNumberFormat="1" applyFont="1" applyFill="1" applyBorder="1" applyAlignment="1"/>
    <xf numFmtId="173" fontId="19" fillId="5" borderId="0" xfId="8" applyNumberFormat="1" applyFont="1" applyFill="1" applyBorder="1" applyAlignment="1"/>
    <xf numFmtId="173" fontId="19" fillId="4" borderId="0" xfId="8" applyNumberFormat="1" applyFont="1" applyFill="1" applyBorder="1"/>
    <xf numFmtId="173" fontId="20" fillId="4" borderId="0" xfId="8" applyNumberFormat="1" applyFont="1" applyFill="1" applyBorder="1"/>
    <xf numFmtId="173" fontId="20" fillId="5" borderId="0" xfId="8" applyNumberFormat="1" applyFont="1" applyFill="1" applyBorder="1" applyAlignment="1"/>
    <xf numFmtId="0" fontId="21" fillId="0" borderId="0" xfId="0" applyFont="1"/>
    <xf numFmtId="0" fontId="0" fillId="0" borderId="0" xfId="0" applyFont="1" applyBorder="1"/>
    <xf numFmtId="3" fontId="4" fillId="0" borderId="0" xfId="0" applyNumberFormat="1" applyFont="1" applyBorder="1" applyAlignment="1">
      <alignment horizontal="right" wrapText="1"/>
    </xf>
    <xf numFmtId="0" fontId="0" fillId="0" borderId="13" xfId="0" applyFont="1" applyBorder="1"/>
    <xf numFmtId="0" fontId="0" fillId="0" borderId="11" xfId="0" applyFill="1" applyBorder="1"/>
    <xf numFmtId="164" fontId="0" fillId="0" borderId="6" xfId="1" applyNumberFormat="1" applyFont="1" applyBorder="1" applyAlignment="1">
      <alignment horizontal="center"/>
    </xf>
    <xf numFmtId="0" fontId="0" fillId="0" borderId="2" xfId="0" quotePrefix="1" applyBorder="1" applyAlignment="1">
      <alignment horizontal="center"/>
    </xf>
    <xf numFmtId="0" fontId="4" fillId="0" borderId="0" xfId="0" applyFont="1" applyBorder="1" applyAlignment="1">
      <alignment horizontal="right" wrapText="1"/>
    </xf>
    <xf numFmtId="172" fontId="10" fillId="0" borderId="13" xfId="8" applyNumberFormat="1" applyFont="1" applyFill="1" applyBorder="1"/>
    <xf numFmtId="0" fontId="18" fillId="5" borderId="14" xfId="0" applyFont="1" applyFill="1" applyBorder="1" applyAlignment="1">
      <alignment horizontal="center"/>
    </xf>
    <xf numFmtId="3" fontId="11" fillId="2" borderId="14" xfId="0" applyNumberFormat="1" applyFont="1" applyFill="1" applyBorder="1" applyAlignment="1">
      <alignment horizontal="center"/>
    </xf>
    <xf numFmtId="9" fontId="19" fillId="3" borderId="3" xfId="1" applyFont="1" applyFill="1" applyBorder="1" applyAlignment="1">
      <alignment horizontal="center"/>
    </xf>
    <xf numFmtId="164" fontId="19" fillId="4" borderId="14" xfId="1" applyNumberFormat="1" applyFont="1" applyFill="1" applyBorder="1" applyAlignment="1">
      <alignment horizontal="center"/>
    </xf>
    <xf numFmtId="9" fontId="19" fillId="5" borderId="14" xfId="1" applyFont="1" applyFill="1" applyBorder="1" applyAlignment="1">
      <alignment horizontal="center"/>
    </xf>
    <xf numFmtId="164" fontId="0" fillId="2" borderId="7" xfId="1" applyNumberFormat="1" applyFont="1" applyFill="1" applyBorder="1" applyAlignment="1">
      <alignment horizontal="center"/>
    </xf>
    <xf numFmtId="0" fontId="3" fillId="0" borderId="2" xfId="0" applyFont="1" applyBorder="1"/>
    <xf numFmtId="6" fontId="0" fillId="0" borderId="0" xfId="0" applyNumberFormat="1" applyBorder="1"/>
    <xf numFmtId="173" fontId="19" fillId="4" borderId="1" xfId="8" applyNumberFormat="1" applyFont="1" applyFill="1" applyBorder="1"/>
    <xf numFmtId="6" fontId="0" fillId="2" borderId="12" xfId="0" applyNumberFormat="1" applyFill="1" applyBorder="1"/>
    <xf numFmtId="172" fontId="10" fillId="0" borderId="0" xfId="8" applyNumberFormat="1" applyFont="1" applyBorder="1"/>
    <xf numFmtId="164" fontId="19" fillId="4" borderId="0" xfId="1" applyNumberFormat="1" applyFont="1" applyFill="1" applyBorder="1" applyAlignment="1">
      <alignment horizontal="center"/>
    </xf>
    <xf numFmtId="9" fontId="19" fillId="4" borderId="0" xfId="1" applyFont="1" applyFill="1" applyBorder="1" applyAlignment="1">
      <alignment horizontal="center"/>
    </xf>
    <xf numFmtId="9" fontId="19" fillId="4" borderId="1" xfId="1" applyFont="1" applyFill="1" applyBorder="1" applyAlignment="1">
      <alignment horizontal="center"/>
    </xf>
    <xf numFmtId="164" fontId="19" fillId="5" borderId="0" xfId="1" applyNumberFormat="1" applyFont="1" applyFill="1" applyBorder="1" applyAlignment="1">
      <alignment horizontal="center"/>
    </xf>
    <xf numFmtId="10" fontId="19" fillId="3" borderId="13" xfId="1" applyNumberFormat="1" applyFont="1" applyFill="1" applyBorder="1" applyAlignment="1">
      <alignment horizontal="center"/>
    </xf>
    <xf numFmtId="164" fontId="19" fillId="3" borderId="13" xfId="1" applyNumberFormat="1" applyFont="1" applyFill="1" applyBorder="1" applyAlignment="1">
      <alignment horizontal="center"/>
    </xf>
    <xf numFmtId="164" fontId="19" fillId="3" borderId="11" xfId="1" applyNumberFormat="1" applyFont="1" applyFill="1" applyBorder="1" applyAlignment="1">
      <alignment horizontal="center"/>
    </xf>
    <xf numFmtId="9" fontId="19" fillId="4" borderId="0" xfId="1" applyNumberFormat="1" applyFont="1" applyFill="1" applyBorder="1" applyAlignment="1">
      <alignment horizontal="center"/>
    </xf>
    <xf numFmtId="164" fontId="19" fillId="5" borderId="1" xfId="1" applyNumberFormat="1" applyFont="1" applyFill="1" applyBorder="1" applyAlignment="1">
      <alignment horizontal="center"/>
    </xf>
    <xf numFmtId="9" fontId="19" fillId="4" borderId="14" xfId="1" applyFont="1" applyFill="1" applyBorder="1" applyAlignment="1">
      <alignment horizontal="center"/>
    </xf>
    <xf numFmtId="164" fontId="10" fillId="2" borderId="10" xfId="1" applyNumberFormat="1" applyFont="1" applyFill="1" applyBorder="1" applyAlignment="1">
      <alignment horizontal="center"/>
    </xf>
    <xf numFmtId="9" fontId="10" fillId="2" borderId="15" xfId="1" applyFont="1" applyFill="1" applyBorder="1" applyAlignment="1">
      <alignment horizontal="center"/>
    </xf>
    <xf numFmtId="9" fontId="10" fillId="2" borderId="12" xfId="1" applyFont="1" applyFill="1" applyBorder="1" applyAlignment="1">
      <alignment horizontal="center"/>
    </xf>
    <xf numFmtId="9" fontId="18" fillId="4" borderId="0" xfId="0" applyNumberFormat="1" applyFont="1" applyFill="1" applyBorder="1" applyAlignment="1">
      <alignment horizontal="center"/>
    </xf>
    <xf numFmtId="164" fontId="18" fillId="5" borderId="0" xfId="1" applyNumberFormat="1" applyFont="1" applyFill="1" applyBorder="1" applyAlignment="1">
      <alignment horizontal="center"/>
    </xf>
    <xf numFmtId="9" fontId="10" fillId="2" borderId="10" xfId="1" applyNumberFormat="1" applyFont="1" applyFill="1" applyBorder="1" applyAlignment="1">
      <alignment horizontal="center"/>
    </xf>
    <xf numFmtId="10" fontId="4" fillId="0" borderId="9" xfId="0" applyNumberFormat="1" applyFont="1" applyFill="1" applyBorder="1" applyAlignment="1">
      <alignment horizontal="right" vertical="center" readingOrder="1"/>
    </xf>
    <xf numFmtId="10" fontId="4" fillId="0" borderId="10" xfId="0" applyNumberFormat="1" applyFont="1" applyFill="1" applyBorder="1" applyAlignment="1">
      <alignment horizontal="right" vertical="center" readingOrder="1"/>
    </xf>
    <xf numFmtId="164" fontId="4" fillId="0" borderId="13" xfId="0" applyNumberFormat="1" applyFont="1" applyFill="1" applyBorder="1" applyAlignment="1">
      <alignment horizontal="right" vertical="center" readingOrder="1"/>
    </xf>
    <xf numFmtId="164" fontId="4" fillId="0" borderId="11" xfId="0" applyNumberFormat="1" applyFont="1" applyFill="1" applyBorder="1" applyAlignment="1">
      <alignment horizontal="right" vertical="center" readingOrder="1"/>
    </xf>
    <xf numFmtId="10" fontId="4" fillId="0" borderId="8" xfId="0" applyNumberFormat="1" applyFont="1" applyFill="1" applyBorder="1" applyAlignment="1">
      <alignment horizontal="right" vertical="center" readingOrder="1"/>
    </xf>
    <xf numFmtId="166" fontId="9" fillId="0" borderId="0" xfId="3" applyNumberFormat="1" applyFont="1"/>
    <xf numFmtId="0" fontId="22" fillId="0" borderId="0" xfId="0" applyFont="1" applyFill="1" applyBorder="1" applyAlignment="1">
      <alignment horizontal="left" vertical="center" readingOrder="1"/>
    </xf>
    <xf numFmtId="164" fontId="7" fillId="0" borderId="0" xfId="1" applyNumberFormat="1" applyFont="1"/>
    <xf numFmtId="166" fontId="19" fillId="3" borderId="11" xfId="3" applyNumberFormat="1" applyFont="1" applyFill="1" applyBorder="1"/>
    <xf numFmtId="0" fontId="0" fillId="0" borderId="0" xfId="0" applyFont="1" applyBorder="1" applyAlignment="1">
      <alignment horizontal="center"/>
    </xf>
    <xf numFmtId="173" fontId="0" fillId="0" borderId="9" xfId="0" applyNumberFormat="1" applyBorder="1"/>
    <xf numFmtId="6" fontId="0" fillId="0" borderId="0" xfId="0" applyNumberFormat="1" applyFont="1" applyBorder="1" applyAlignment="1">
      <alignment horizontal="right"/>
    </xf>
    <xf numFmtId="6" fontId="6" fillId="0" borderId="0" xfId="0" applyNumberFormat="1" applyFont="1" applyBorder="1" applyAlignment="1">
      <alignment horizontal="right"/>
    </xf>
    <xf numFmtId="6" fontId="0" fillId="0" borderId="0" xfId="0" applyNumberFormat="1"/>
    <xf numFmtId="165" fontId="9" fillId="0" borderId="0" xfId="0" applyNumberFormat="1" applyFont="1" applyFill="1" applyBorder="1"/>
    <xf numFmtId="9" fontId="7" fillId="0" borderId="0" xfId="1" applyFont="1"/>
    <xf numFmtId="165" fontId="9" fillId="0" borderId="0" xfId="0" applyNumberFormat="1" applyFont="1"/>
    <xf numFmtId="9" fontId="0" fillId="0" borderId="0" xfId="1" applyFont="1" applyBorder="1" applyAlignment="1">
      <alignment horizontal="right"/>
    </xf>
    <xf numFmtId="0" fontId="0" fillId="0" borderId="0" xfId="0" applyAlignment="1">
      <alignment horizontal="right"/>
    </xf>
    <xf numFmtId="9" fontId="0" fillId="0" borderId="4" xfId="1" applyFont="1" applyBorder="1"/>
    <xf numFmtId="9" fontId="0" fillId="0" borderId="6" xfId="1" applyFont="1" applyBorder="1"/>
    <xf numFmtId="0" fontId="0" fillId="0" borderId="3" xfId="0" applyBorder="1" applyAlignment="1">
      <alignment horizontal="center"/>
    </xf>
    <xf numFmtId="0" fontId="0" fillId="0" borderId="10" xfId="0" applyBorder="1" applyAlignment="1">
      <alignment horizontal="center"/>
    </xf>
    <xf numFmtId="9" fontId="19" fillId="3" borderId="13" xfId="1" applyNumberFormat="1" applyFont="1" applyFill="1" applyBorder="1" applyAlignment="1">
      <alignment horizontal="center"/>
    </xf>
    <xf numFmtId="9" fontId="19" fillId="5" borderId="0" xfId="1" applyNumberFormat="1" applyFont="1" applyFill="1" applyBorder="1" applyAlignment="1">
      <alignment horizontal="center"/>
    </xf>
    <xf numFmtId="9" fontId="10" fillId="2" borderId="15" xfId="1" applyNumberFormat="1" applyFont="1" applyFill="1" applyBorder="1" applyAlignment="1">
      <alignment horizontal="center"/>
    </xf>
    <xf numFmtId="9" fontId="19" fillId="3" borderId="11" xfId="1" applyNumberFormat="1" applyFont="1" applyFill="1" applyBorder="1" applyAlignment="1">
      <alignment horizontal="center"/>
    </xf>
    <xf numFmtId="9" fontId="19" fillId="5" borderId="1" xfId="1" applyNumberFormat="1" applyFont="1" applyFill="1" applyBorder="1" applyAlignment="1">
      <alignment horizontal="center"/>
    </xf>
    <xf numFmtId="9" fontId="10" fillId="2" borderId="12" xfId="1" applyNumberFormat="1" applyFont="1" applyFill="1" applyBorder="1" applyAlignment="1">
      <alignment horizontal="center"/>
    </xf>
    <xf numFmtId="9" fontId="18" fillId="5" borderId="0" xfId="1" applyNumberFormat="1" applyFont="1" applyFill="1" applyBorder="1" applyAlignment="1">
      <alignment horizontal="center"/>
    </xf>
    <xf numFmtId="9" fontId="19" fillId="4" borderId="1" xfId="1" applyNumberFormat="1" applyFont="1" applyFill="1" applyBorder="1" applyAlignment="1">
      <alignment horizontal="center"/>
    </xf>
    <xf numFmtId="0" fontId="0" fillId="0" borderId="4" xfId="0" applyBorder="1" applyAlignment="1">
      <alignment horizontal="center"/>
    </xf>
    <xf numFmtId="0" fontId="0" fillId="0" borderId="4" xfId="0" applyFont="1" applyBorder="1" applyAlignment="1">
      <alignment horizontal="center"/>
    </xf>
    <xf numFmtId="9" fontId="4" fillId="0" borderId="8" xfId="0" applyNumberFormat="1" applyFont="1" applyFill="1" applyBorder="1" applyAlignment="1">
      <alignment horizontal="center" vertical="center" readingOrder="1"/>
    </xf>
    <xf numFmtId="9" fontId="4" fillId="0" borderId="9" xfId="0" applyNumberFormat="1" applyFont="1" applyFill="1" applyBorder="1" applyAlignment="1">
      <alignment horizontal="center" vertical="center" readingOrder="1"/>
    </xf>
    <xf numFmtId="9" fontId="4" fillId="0" borderId="10" xfId="0" applyNumberFormat="1" applyFont="1" applyFill="1" applyBorder="1" applyAlignment="1">
      <alignment horizontal="center" vertical="center" readingOrder="1"/>
    </xf>
    <xf numFmtId="9" fontId="4" fillId="0" borderId="13" xfId="0" applyNumberFormat="1" applyFont="1" applyFill="1" applyBorder="1" applyAlignment="1">
      <alignment horizontal="center" vertical="center" readingOrder="1"/>
    </xf>
    <xf numFmtId="9" fontId="4" fillId="0" borderId="0" xfId="0" applyNumberFormat="1" applyFont="1" applyFill="1" applyBorder="1" applyAlignment="1">
      <alignment horizontal="center" vertical="center" readingOrder="1"/>
    </xf>
    <xf numFmtId="9" fontId="4" fillId="0" borderId="15" xfId="0" applyNumberFormat="1" applyFont="1" applyFill="1" applyBorder="1" applyAlignment="1">
      <alignment horizontal="center" vertical="center" readingOrder="1"/>
    </xf>
    <xf numFmtId="9" fontId="4" fillId="0" borderId="11" xfId="0" applyNumberFormat="1" applyFont="1" applyFill="1" applyBorder="1" applyAlignment="1">
      <alignment horizontal="center" vertical="center" readingOrder="1"/>
    </xf>
    <xf numFmtId="9" fontId="4" fillId="0" borderId="1" xfId="0" applyNumberFormat="1" applyFont="1" applyFill="1" applyBorder="1" applyAlignment="1">
      <alignment horizontal="center" vertical="center" readingOrder="1"/>
    </xf>
    <xf numFmtId="9" fontId="4" fillId="0" borderId="12" xfId="0" applyNumberFormat="1" applyFont="1" applyFill="1" applyBorder="1" applyAlignment="1">
      <alignment horizontal="center" vertical="center" readingOrder="1"/>
    </xf>
    <xf numFmtId="169" fontId="0" fillId="0" borderId="0" xfId="0" applyNumberFormat="1" applyFont="1" applyBorder="1" applyAlignment="1">
      <alignment horizontal="right"/>
    </xf>
    <xf numFmtId="169" fontId="6" fillId="0" borderId="0" xfId="0" applyNumberFormat="1" applyFont="1" applyBorder="1" applyAlignment="1">
      <alignment horizontal="right"/>
    </xf>
    <xf numFmtId="9" fontId="0" fillId="0" borderId="4" xfId="0" applyNumberFormat="1" applyFill="1" applyBorder="1"/>
    <xf numFmtId="9" fontId="0" fillId="0" borderId="6" xfId="0" applyNumberFormat="1" applyFill="1" applyBorder="1"/>
    <xf numFmtId="167" fontId="21" fillId="0" borderId="0" xfId="0" applyNumberFormat="1" applyFont="1"/>
    <xf numFmtId="9" fontId="21" fillId="0" borderId="0" xfId="0" applyNumberFormat="1" applyFont="1" applyFill="1" applyBorder="1"/>
    <xf numFmtId="0" fontId="18" fillId="3" borderId="2" xfId="0" applyFont="1" applyFill="1" applyBorder="1" applyAlignment="1">
      <alignment horizontal="center"/>
    </xf>
    <xf numFmtId="0" fontId="18" fillId="4" borderId="2" xfId="0" applyFont="1" applyFill="1" applyBorder="1" applyAlignment="1">
      <alignment horizontal="center"/>
    </xf>
    <xf numFmtId="0" fontId="18" fillId="5" borderId="2" xfId="0" applyFont="1" applyFill="1" applyBorder="1" applyAlignment="1">
      <alignment horizontal="center"/>
    </xf>
    <xf numFmtId="167" fontId="0" fillId="0" borderId="2" xfId="0" applyNumberFormat="1" applyBorder="1"/>
    <xf numFmtId="9" fontId="19" fillId="4" borderId="4" xfId="1" applyNumberFormat="1" applyFont="1" applyFill="1" applyBorder="1" applyAlignment="1">
      <alignment horizontal="center"/>
    </xf>
    <xf numFmtId="9" fontId="10" fillId="2" borderId="4" xfId="1" applyNumberFormat="1" applyFont="1" applyFill="1" applyBorder="1" applyAlignment="1">
      <alignment horizontal="center"/>
    </xf>
    <xf numFmtId="9" fontId="10" fillId="2" borderId="6" xfId="1" applyNumberFormat="1" applyFont="1" applyFill="1" applyBorder="1" applyAlignment="1">
      <alignment horizontal="center"/>
    </xf>
    <xf numFmtId="172" fontId="19" fillId="5" borderId="0" xfId="8" applyNumberFormat="1" applyFont="1" applyFill="1" applyBorder="1" applyAlignment="1">
      <alignment horizontal="center"/>
    </xf>
    <xf numFmtId="172" fontId="19" fillId="5" borderId="1" xfId="8" applyNumberFormat="1" applyFont="1" applyFill="1" applyBorder="1" applyAlignment="1">
      <alignment horizontal="center"/>
    </xf>
    <xf numFmtId="9" fontId="19" fillId="3" borderId="2" xfId="1" applyNumberFormat="1" applyFont="1" applyFill="1" applyBorder="1" applyAlignment="1">
      <alignment horizontal="center"/>
    </xf>
    <xf numFmtId="9" fontId="19" fillId="5" borderId="2" xfId="1" applyNumberFormat="1" applyFont="1" applyFill="1" applyBorder="1" applyAlignment="1">
      <alignment horizontal="center"/>
    </xf>
    <xf numFmtId="6" fontId="0" fillId="0" borderId="5" xfId="0" applyNumberFormat="1" applyFont="1" applyFill="1" applyBorder="1"/>
    <xf numFmtId="0" fontId="26" fillId="0" borderId="0" xfId="0" applyFont="1"/>
    <xf numFmtId="0" fontId="0" fillId="0" borderId="11" xfId="0" applyBorder="1" applyAlignment="1"/>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6" fontId="0" fillId="0" borderId="13" xfId="0" applyNumberFormat="1" applyBorder="1"/>
    <xf numFmtId="6" fontId="0" fillId="0" borderId="15" xfId="0" applyNumberFormat="1" applyBorder="1"/>
    <xf numFmtId="6" fontId="0" fillId="0" borderId="11" xfId="0" applyNumberFormat="1" applyBorder="1"/>
    <xf numFmtId="6" fontId="0" fillId="0" borderId="1" xfId="0" applyNumberFormat="1" applyBorder="1"/>
    <xf numFmtId="6" fontId="0" fillId="0" borderId="12" xfId="0" applyNumberFormat="1" applyBorder="1"/>
    <xf numFmtId="6" fontId="0" fillId="0" borderId="0" xfId="0" applyNumberFormat="1" applyBorder="1" applyAlignment="1">
      <alignment horizontal="right"/>
    </xf>
    <xf numFmtId="6" fontId="0" fillId="0" borderId="15" xfId="0" applyNumberFormat="1" applyBorder="1" applyAlignment="1">
      <alignment horizontal="right"/>
    </xf>
    <xf numFmtId="6" fontId="0" fillId="0" borderId="1" xfId="0" applyNumberFormat="1" applyBorder="1" applyAlignment="1">
      <alignment horizontal="right"/>
    </xf>
    <xf numFmtId="6" fontId="0" fillId="0" borderId="12" xfId="0" applyNumberFormat="1" applyBorder="1" applyAlignment="1">
      <alignment horizontal="right"/>
    </xf>
    <xf numFmtId="0" fontId="0" fillId="0" borderId="4" xfId="0" applyBorder="1"/>
    <xf numFmtId="9" fontId="19" fillId="3" borderId="8" xfId="1" applyNumberFormat="1" applyFont="1" applyFill="1" applyBorder="1" applyAlignment="1">
      <alignment horizontal="center"/>
    </xf>
    <xf numFmtId="9" fontId="19" fillId="5" borderId="9" xfId="1" applyNumberFormat="1" applyFont="1" applyFill="1" applyBorder="1" applyAlignment="1">
      <alignment horizontal="center"/>
    </xf>
    <xf numFmtId="9" fontId="19" fillId="4" borderId="6" xfId="1" applyNumberFormat="1" applyFont="1" applyFill="1" applyBorder="1" applyAlignment="1">
      <alignment horizontal="center"/>
    </xf>
    <xf numFmtId="166" fontId="0" fillId="0" borderId="0" xfId="5" applyNumberFormat="1" applyFont="1"/>
    <xf numFmtId="165" fontId="0" fillId="0" borderId="0" xfId="5" applyNumberFormat="1" applyFont="1"/>
    <xf numFmtId="174" fontId="0" fillId="0" borderId="0" xfId="6" applyNumberFormat="1" applyFont="1"/>
    <xf numFmtId="165" fontId="0" fillId="0" borderId="2" xfId="5" applyNumberFormat="1" applyFont="1" applyBorder="1"/>
    <xf numFmtId="9" fontId="0" fillId="0" borderId="2" xfId="1" applyFont="1" applyBorder="1" applyAlignment="1">
      <alignment horizontal="center"/>
    </xf>
    <xf numFmtId="9" fontId="19" fillId="4" borderId="2" xfId="1" applyNumberFormat="1" applyFont="1" applyFill="1" applyBorder="1" applyAlignment="1">
      <alignment horizontal="center"/>
    </xf>
    <xf numFmtId="9" fontId="10" fillId="2" borderId="2" xfId="1" applyNumberFormat="1" applyFont="1" applyFill="1" applyBorder="1" applyAlignment="1">
      <alignment horizontal="center"/>
    </xf>
    <xf numFmtId="175" fontId="23" fillId="0" borderId="0" xfId="0" applyNumberFormat="1" applyFont="1"/>
    <xf numFmtId="175" fontId="10" fillId="0" borderId="0" xfId="0" applyNumberFormat="1" applyFont="1"/>
    <xf numFmtId="175" fontId="0" fillId="0" borderId="0" xfId="0" applyNumberFormat="1"/>
    <xf numFmtId="175" fontId="0" fillId="0" borderId="0" xfId="0" applyNumberFormat="1" applyAlignment="1">
      <alignment horizontal="right"/>
    </xf>
    <xf numFmtId="175" fontId="6" fillId="0" borderId="0" xfId="0" applyNumberFormat="1" applyFont="1"/>
    <xf numFmtId="0" fontId="3" fillId="0" borderId="0" xfId="0" applyFont="1" applyBorder="1"/>
    <xf numFmtId="0" fontId="0" fillId="6" borderId="0" xfId="0" applyFill="1"/>
    <xf numFmtId="0" fontId="28" fillId="6" borderId="0" xfId="0" applyFont="1" applyFill="1"/>
    <xf numFmtId="0" fontId="0" fillId="0" borderId="0" xfId="0" applyFill="1"/>
    <xf numFmtId="0" fontId="27" fillId="0" borderId="5" xfId="7" applyFont="1" applyBorder="1" applyAlignment="1" applyProtection="1">
      <alignment horizontal="center"/>
    </xf>
    <xf numFmtId="0" fontId="2" fillId="0" borderId="5" xfId="0" applyFont="1" applyBorder="1"/>
    <xf numFmtId="9" fontId="0" fillId="2" borderId="0" xfId="0" applyNumberFormat="1" applyFill="1"/>
    <xf numFmtId="0" fontId="0" fillId="0" borderId="0" xfId="0" applyFont="1" applyFill="1"/>
    <xf numFmtId="9" fontId="19" fillId="0" borderId="0" xfId="1" applyNumberFormat="1" applyFont="1" applyFill="1" applyBorder="1" applyAlignment="1">
      <alignment horizontal="center"/>
    </xf>
    <xf numFmtId="9" fontId="10" fillId="0" borderId="0" xfId="1" applyNumberFormat="1" applyFont="1" applyFill="1" applyBorder="1" applyAlignment="1">
      <alignment horizontal="center"/>
    </xf>
    <xf numFmtId="0" fontId="0" fillId="0" borderId="16" xfId="0" applyFont="1" applyBorder="1"/>
    <xf numFmtId="0" fontId="8" fillId="0" borderId="0" xfId="0" applyFont="1" applyBorder="1" applyAlignment="1">
      <alignment horizontal="center"/>
    </xf>
    <xf numFmtId="2" fontId="0" fillId="0" borderId="0" xfId="0" applyNumberFormat="1"/>
    <xf numFmtId="165" fontId="0" fillId="0" borderId="1" xfId="3" applyNumberFormat="1" applyFont="1" applyBorder="1"/>
    <xf numFmtId="165" fontId="0" fillId="0" borderId="16" xfId="3" applyNumberFormat="1" applyFont="1" applyBorder="1"/>
    <xf numFmtId="166" fontId="0" fillId="0" borderId="16" xfId="3" applyNumberFormat="1" applyFont="1" applyBorder="1"/>
    <xf numFmtId="165" fontId="6" fillId="0" borderId="0" xfId="3" applyNumberFormat="1" applyFont="1" applyBorder="1"/>
    <xf numFmtId="0" fontId="0" fillId="7" borderId="0" xfId="0" applyFont="1" applyFill="1"/>
    <xf numFmtId="0" fontId="0" fillId="7" borderId="0" xfId="0" applyFill="1"/>
    <xf numFmtId="0" fontId="0" fillId="8" borderId="0" xfId="0" applyFill="1"/>
    <xf numFmtId="0" fontId="0" fillId="9" borderId="0" xfId="0" applyFont="1" applyFill="1"/>
    <xf numFmtId="0" fontId="0" fillId="9" borderId="0" xfId="0" applyFill="1"/>
    <xf numFmtId="0" fontId="33" fillId="0" borderId="0" xfId="0" applyFont="1"/>
    <xf numFmtId="0" fontId="34" fillId="0" borderId="0" xfId="0" applyFont="1"/>
    <xf numFmtId="0" fontId="3" fillId="0" borderId="0" xfId="0" applyFont="1" applyFill="1"/>
    <xf numFmtId="0" fontId="27" fillId="7" borderId="5" xfId="7" applyFont="1" applyFill="1" applyBorder="1" applyAlignment="1" applyProtection="1">
      <alignment horizontal="center"/>
    </xf>
    <xf numFmtId="0" fontId="27" fillId="8" borderId="5" xfId="7" applyFont="1" applyFill="1" applyBorder="1" applyAlignment="1" applyProtection="1">
      <alignment horizontal="center"/>
    </xf>
    <xf numFmtId="0" fontId="27" fillId="7" borderId="6" xfId="7" applyFont="1" applyFill="1" applyBorder="1" applyAlignment="1" applyProtection="1">
      <alignment horizontal="center"/>
    </xf>
    <xf numFmtId="0" fontId="35" fillId="8" borderId="5" xfId="7" applyFont="1" applyFill="1" applyBorder="1" applyAlignment="1" applyProtection="1">
      <alignment horizontal="center"/>
    </xf>
    <xf numFmtId="0" fontId="35" fillId="0" borderId="5" xfId="7" applyFont="1" applyBorder="1" applyAlignment="1" applyProtection="1">
      <alignment horizontal="center"/>
    </xf>
    <xf numFmtId="0" fontId="36" fillId="7" borderId="5" xfId="0" applyFont="1" applyFill="1" applyBorder="1" applyAlignment="1">
      <alignment horizontal="center"/>
    </xf>
    <xf numFmtId="165" fontId="0" fillId="0" borderId="0" xfId="3" applyNumberFormat="1" applyFont="1" applyBorder="1"/>
    <xf numFmtId="166" fontId="0" fillId="0" borderId="0" xfId="3" applyNumberFormat="1" applyFont="1" applyBorder="1"/>
    <xf numFmtId="165" fontId="0" fillId="0" borderId="8" xfId="3" applyNumberFormat="1" applyFont="1" applyBorder="1"/>
    <xf numFmtId="165" fontId="0" fillId="0" borderId="9" xfId="3" applyNumberFormat="1" applyFont="1" applyBorder="1"/>
    <xf numFmtId="165" fontId="0" fillId="0" borderId="10" xfId="3" applyNumberFormat="1" applyFont="1" applyBorder="1"/>
    <xf numFmtId="165" fontId="0" fillId="0" borderId="13" xfId="3" applyNumberFormat="1" applyFont="1" applyBorder="1"/>
    <xf numFmtId="165" fontId="0" fillId="0" borderId="15" xfId="3" applyNumberFormat="1" applyFont="1" applyBorder="1"/>
    <xf numFmtId="165" fontId="0" fillId="0" borderId="11" xfId="3" applyNumberFormat="1" applyFont="1" applyBorder="1"/>
    <xf numFmtId="165" fontId="0" fillId="0" borderId="12" xfId="3" applyNumberFormat="1" applyFont="1" applyBorder="1"/>
    <xf numFmtId="165" fontId="0" fillId="0" borderId="17" xfId="3" applyNumberFormat="1" applyFont="1" applyBorder="1"/>
    <xf numFmtId="165" fontId="0" fillId="0" borderId="18" xfId="3" applyNumberFormat="1" applyFont="1" applyBorder="1"/>
    <xf numFmtId="165" fontId="2" fillId="0" borderId="11" xfId="3" applyNumberFormat="1" applyFont="1" applyBorder="1"/>
    <xf numFmtId="165" fontId="6" fillId="0" borderId="15" xfId="3" applyNumberFormat="1" applyFont="1" applyBorder="1" applyAlignment="1">
      <alignment horizontal="center"/>
    </xf>
    <xf numFmtId="166" fontId="0" fillId="0" borderId="13" xfId="3" applyNumberFormat="1" applyFont="1" applyBorder="1"/>
    <xf numFmtId="166" fontId="0" fillId="0" borderId="15" xfId="3" applyNumberFormat="1" applyFont="1" applyBorder="1"/>
    <xf numFmtId="166" fontId="0" fillId="0" borderId="11" xfId="3" applyNumberFormat="1" applyFont="1" applyBorder="1"/>
    <xf numFmtId="166" fontId="0" fillId="0" borderId="12" xfId="3" applyNumberFormat="1" applyFont="1" applyBorder="1"/>
    <xf numFmtId="166" fontId="0" fillId="0" borderId="17" xfId="3" applyNumberFormat="1" applyFont="1" applyBorder="1"/>
    <xf numFmtId="166" fontId="0" fillId="0" borderId="18" xfId="3" applyNumberFormat="1" applyFont="1" applyBorder="1"/>
    <xf numFmtId="166" fontId="2" fillId="0" borderId="11" xfId="3" applyNumberFormat="1" applyFont="1" applyBorder="1"/>
    <xf numFmtId="166" fontId="23" fillId="0" borderId="13" xfId="3" applyNumberFormat="1" applyFont="1" applyBorder="1"/>
    <xf numFmtId="166" fontId="23" fillId="0" borderId="0" xfId="3" applyNumberFormat="1" applyFont="1" applyBorder="1"/>
    <xf numFmtId="166" fontId="23" fillId="0" borderId="15" xfId="3" applyNumberFormat="1" applyFont="1" applyBorder="1"/>
    <xf numFmtId="38" fontId="0" fillId="0" borderId="13" xfId="3" applyNumberFormat="1" applyFont="1" applyBorder="1"/>
    <xf numFmtId="38" fontId="0" fillId="0" borderId="0" xfId="3" applyNumberFormat="1" applyFont="1" applyBorder="1"/>
    <xf numFmtId="38" fontId="0" fillId="0" borderId="15" xfId="3" applyNumberFormat="1" applyFont="1" applyBorder="1"/>
    <xf numFmtId="38" fontId="0" fillId="0" borderId="11" xfId="3" applyNumberFormat="1" applyFont="1" applyBorder="1"/>
    <xf numFmtId="38" fontId="0" fillId="0" borderId="1" xfId="3" applyNumberFormat="1" applyFont="1" applyBorder="1"/>
    <xf numFmtId="38" fontId="0" fillId="0" borderId="12" xfId="3" applyNumberFormat="1" applyFont="1" applyBorder="1"/>
    <xf numFmtId="175" fontId="0" fillId="0" borderId="13" xfId="0" applyNumberFormat="1" applyBorder="1"/>
    <xf numFmtId="175" fontId="0" fillId="0" borderId="0" xfId="0" applyNumberFormat="1" applyBorder="1"/>
    <xf numFmtId="175" fontId="0" fillId="0" borderId="15" xfId="0" applyNumberFormat="1" applyBorder="1"/>
    <xf numFmtId="0" fontId="0" fillId="0" borderId="15" xfId="0" applyBorder="1"/>
    <xf numFmtId="175" fontId="0" fillId="0" borderId="11" xfId="0" applyNumberFormat="1" applyBorder="1"/>
    <xf numFmtId="175" fontId="0" fillId="0" borderId="1" xfId="0" applyNumberFormat="1" applyBorder="1"/>
    <xf numFmtId="175" fontId="0" fillId="0" borderId="12" xfId="0" applyNumberFormat="1" applyBorder="1"/>
    <xf numFmtId="166" fontId="0" fillId="0" borderId="19" xfId="3" applyNumberFormat="1" applyFont="1" applyBorder="1"/>
    <xf numFmtId="166" fontId="0" fillId="0" borderId="20" xfId="3" applyNumberFormat="1" applyFont="1" applyBorder="1"/>
    <xf numFmtId="166" fontId="0" fillId="0" borderId="21" xfId="3" applyNumberFormat="1" applyFont="1" applyBorder="1"/>
    <xf numFmtId="165" fontId="0" fillId="0" borderId="19" xfId="3" applyNumberFormat="1" applyFont="1" applyBorder="1"/>
    <xf numFmtId="165" fontId="0" fillId="0" borderId="20" xfId="3" applyNumberFormat="1" applyFont="1" applyBorder="1"/>
    <xf numFmtId="165" fontId="0" fillId="0" borderId="21" xfId="3" applyNumberFormat="1" applyFont="1" applyBorder="1"/>
    <xf numFmtId="165" fontId="0" fillId="0" borderId="5" xfId="3" applyNumberFormat="1" applyFont="1" applyBorder="1"/>
    <xf numFmtId="166" fontId="0" fillId="0" borderId="5" xfId="3" applyNumberFormat="1" applyFont="1" applyBorder="1"/>
    <xf numFmtId="166" fontId="2" fillId="0" borderId="5" xfId="3" applyNumberFormat="1" applyFont="1" applyBorder="1"/>
    <xf numFmtId="0" fontId="32" fillId="6" borderId="0" xfId="0" applyFont="1" applyFill="1"/>
    <xf numFmtId="17" fontId="37" fillId="6" borderId="0" xfId="0" quotePrefix="1" applyNumberFormat="1" applyFont="1" applyFill="1" applyAlignment="1">
      <alignment horizontal="center"/>
    </xf>
    <xf numFmtId="0" fontId="37" fillId="6" borderId="0" xfId="0" applyFont="1" applyFill="1" applyAlignment="1">
      <alignment horizontal="center"/>
    </xf>
    <xf numFmtId="0" fontId="39" fillId="6" borderId="0" xfId="0" applyFont="1" applyFill="1"/>
    <xf numFmtId="0" fontId="0" fillId="0" borderId="0" xfId="0" quotePrefix="1"/>
    <xf numFmtId="16" fontId="0" fillId="0" borderId="4" xfId="0" quotePrefix="1" applyNumberFormat="1" applyBorder="1"/>
    <xf numFmtId="16" fontId="0" fillId="0" borderId="5" xfId="0" quotePrefix="1" applyNumberFormat="1" applyBorder="1"/>
    <xf numFmtId="0" fontId="0" fillId="0" borderId="5" xfId="0" quotePrefix="1" applyBorder="1"/>
    <xf numFmtId="0" fontId="0" fillId="0" borderId="6" xfId="0" quotePrefix="1" applyBorder="1"/>
    <xf numFmtId="0" fontId="0" fillId="0" borderId="5" xfId="0" applyBorder="1"/>
    <xf numFmtId="0" fontId="0" fillId="0" borderId="6" xfId="0" applyBorder="1"/>
    <xf numFmtId="6" fontId="0" fillId="0" borderId="5" xfId="0" applyNumberFormat="1" applyBorder="1" applyAlignment="1">
      <alignment horizontal="center"/>
    </xf>
    <xf numFmtId="6" fontId="0" fillId="0" borderId="6" xfId="0" applyNumberFormat="1" applyBorder="1" applyAlignment="1">
      <alignment horizontal="center"/>
    </xf>
    <xf numFmtId="17" fontId="0" fillId="0" borderId="0" xfId="0" quotePrefix="1" applyNumberFormat="1"/>
    <xf numFmtId="0" fontId="3" fillId="0" borderId="0" xfId="0" applyFont="1" applyBorder="1" applyAlignment="1">
      <alignment horizontal="left"/>
    </xf>
    <xf numFmtId="6" fontId="0" fillId="0" borderId="0" xfId="0" applyNumberFormat="1" applyAlignment="1">
      <alignment horizontal="left"/>
    </xf>
    <xf numFmtId="6" fontId="6" fillId="0" borderId="0" xfId="0" applyNumberFormat="1" applyFont="1" applyAlignment="1">
      <alignment horizontal="left"/>
    </xf>
    <xf numFmtId="169" fontId="0" fillId="0" borderId="0" xfId="0" applyNumberFormat="1" applyAlignment="1">
      <alignment horizontal="left"/>
    </xf>
    <xf numFmtId="0" fontId="0" fillId="0" borderId="6" xfId="0" applyBorder="1" applyAlignment="1">
      <alignment horizontal="center"/>
    </xf>
    <xf numFmtId="0" fontId="7" fillId="0" borderId="6" xfId="0" applyFont="1" applyBorder="1" applyAlignment="1">
      <alignment horizontal="center"/>
    </xf>
    <xf numFmtId="171" fontId="0" fillId="0" borderId="0" xfId="8" applyNumberFormat="1" applyFont="1" applyFill="1" applyBorder="1" applyAlignment="1">
      <alignment horizontal="left"/>
    </xf>
    <xf numFmtId="164" fontId="0" fillId="0" borderId="0" xfId="1" applyNumberFormat="1" applyFont="1" applyFill="1" applyBorder="1"/>
    <xf numFmtId="0" fontId="6" fillId="0" borderId="13" xfId="0" applyFont="1" applyBorder="1"/>
    <xf numFmtId="0" fontId="3" fillId="0" borderId="13" xfId="0" applyFont="1" applyBorder="1"/>
    <xf numFmtId="6" fontId="0" fillId="0" borderId="6" xfId="0" applyNumberFormat="1" applyFont="1" applyFill="1" applyBorder="1"/>
    <xf numFmtId="173" fontId="19" fillId="3" borderId="13" xfId="8" applyNumberFormat="1" applyFont="1" applyFill="1" applyBorder="1"/>
    <xf numFmtId="173" fontId="20" fillId="3" borderId="13" xfId="8" applyNumberFormat="1" applyFont="1" applyFill="1" applyBorder="1"/>
    <xf numFmtId="166" fontId="19" fillId="3" borderId="2" xfId="3" applyNumberFormat="1" applyFont="1" applyFill="1" applyBorder="1"/>
    <xf numFmtId="166" fontId="19" fillId="4" borderId="2" xfId="3" applyNumberFormat="1" applyFont="1" applyFill="1" applyBorder="1" applyAlignment="1"/>
    <xf numFmtId="170" fontId="19" fillId="5" borderId="2" xfId="0" applyNumberFormat="1" applyFont="1" applyFill="1" applyBorder="1" applyAlignment="1"/>
    <xf numFmtId="166" fontId="0" fillId="2" borderId="2" xfId="3" applyNumberFormat="1" applyFont="1" applyFill="1" applyBorder="1"/>
    <xf numFmtId="0" fontId="7" fillId="0" borderId="13" xfId="0" applyFont="1" applyBorder="1"/>
    <xf numFmtId="6" fontId="0" fillId="0" borderId="15" xfId="0" applyNumberFormat="1" applyFill="1" applyBorder="1"/>
    <xf numFmtId="6" fontId="0" fillId="0" borderId="5" xfId="0" applyNumberFormat="1" applyFill="1" applyBorder="1"/>
    <xf numFmtId="0" fontId="0" fillId="0" borderId="12" xfId="0" applyBorder="1" applyAlignment="1">
      <alignment horizontal="center"/>
    </xf>
    <xf numFmtId="6" fontId="6" fillId="0" borderId="5" xfId="0" applyNumberFormat="1" applyFont="1" applyFill="1" applyBorder="1"/>
    <xf numFmtId="6" fontId="6" fillId="0" borderId="15" xfId="0" applyNumberFormat="1" applyFont="1" applyFill="1" applyBorder="1"/>
    <xf numFmtId="6" fontId="0" fillId="0" borderId="15" xfId="0" applyNumberFormat="1" applyFont="1" applyFill="1" applyBorder="1"/>
    <xf numFmtId="176" fontId="0" fillId="0" borderId="4" xfId="0" applyNumberFormat="1" applyBorder="1"/>
    <xf numFmtId="164" fontId="0" fillId="0" borderId="4" xfId="1" applyNumberFormat="1" applyFont="1" applyBorder="1" applyAlignment="1">
      <alignment horizontal="center"/>
    </xf>
    <xf numFmtId="0" fontId="0" fillId="0" borderId="6" xfId="0" quotePrefix="1" applyBorder="1" applyAlignment="1">
      <alignment horizontal="center"/>
    </xf>
    <xf numFmtId="164" fontId="0" fillId="0" borderId="2" xfId="1" applyNumberFormat="1" applyFont="1" applyBorder="1" applyAlignment="1">
      <alignment horizontal="center"/>
    </xf>
    <xf numFmtId="0" fontId="7" fillId="0" borderId="0" xfId="0" applyFont="1" applyAlignment="1">
      <alignment horizontal="center"/>
    </xf>
    <xf numFmtId="164" fontId="19" fillId="5" borderId="12" xfId="1" applyNumberFormat="1" applyFont="1" applyFill="1" applyBorder="1" applyAlignment="1">
      <alignment horizontal="center"/>
    </xf>
    <xf numFmtId="9" fontId="19" fillId="4" borderId="9" xfId="1" applyNumberFormat="1" applyFont="1" applyFill="1" applyBorder="1" applyAlignment="1">
      <alignment horizontal="center"/>
    </xf>
    <xf numFmtId="9" fontId="19" fillId="5" borderId="10" xfId="1" applyNumberFormat="1" applyFont="1" applyFill="1" applyBorder="1" applyAlignment="1">
      <alignment horizontal="center"/>
    </xf>
    <xf numFmtId="9" fontId="0" fillId="2" borderId="4" xfId="0" applyNumberFormat="1" applyFill="1" applyBorder="1" applyAlignment="1">
      <alignment horizontal="center"/>
    </xf>
    <xf numFmtId="164" fontId="4" fillId="0" borderId="0" xfId="0" applyNumberFormat="1" applyFont="1" applyFill="1" applyBorder="1" applyAlignment="1">
      <alignment horizontal="right" vertical="center" readingOrder="1"/>
    </xf>
    <xf numFmtId="164" fontId="4" fillId="0" borderId="15" xfId="0" applyNumberFormat="1" applyFont="1" applyFill="1" applyBorder="1" applyAlignment="1">
      <alignment horizontal="right" vertical="center" readingOrder="1"/>
    </xf>
    <xf numFmtId="164" fontId="4" fillId="0" borderId="1" xfId="0" applyNumberFormat="1" applyFont="1" applyFill="1" applyBorder="1" applyAlignment="1">
      <alignment horizontal="right" vertical="center" readingOrder="1"/>
    </xf>
    <xf numFmtId="164" fontId="4" fillId="0" borderId="12" xfId="0" applyNumberFormat="1" applyFont="1" applyFill="1" applyBorder="1" applyAlignment="1">
      <alignment horizontal="right" vertical="center" readingOrder="1"/>
    </xf>
    <xf numFmtId="0" fontId="7" fillId="0" borderId="13" xfId="0" applyFont="1" applyFill="1" applyBorder="1"/>
    <xf numFmtId="3" fontId="22" fillId="0" borderId="0" xfId="0" applyNumberFormat="1" applyFont="1" applyBorder="1" applyAlignment="1">
      <alignment horizontal="right" wrapText="1"/>
    </xf>
    <xf numFmtId="9" fontId="7" fillId="0" borderId="0" xfId="1" applyFont="1" applyBorder="1" applyAlignment="1">
      <alignment horizontal="center"/>
    </xf>
    <xf numFmtId="0" fontId="7" fillId="0" borderId="9" xfId="0" applyFont="1" applyFill="1" applyBorder="1"/>
    <xf numFmtId="167" fontId="7" fillId="0" borderId="0" xfId="0" applyNumberFormat="1" applyFont="1"/>
    <xf numFmtId="9" fontId="7" fillId="0" borderId="0" xfId="0" applyNumberFormat="1" applyFont="1" applyFill="1" applyBorder="1"/>
    <xf numFmtId="0" fontId="7" fillId="0" borderId="0" xfId="0" applyFont="1" applyBorder="1"/>
    <xf numFmtId="0" fontId="0" fillId="7" borderId="15" xfId="0" applyFill="1" applyBorder="1"/>
    <xf numFmtId="166" fontId="7" fillId="0" borderId="0" xfId="0" applyNumberFormat="1" applyFont="1"/>
    <xf numFmtId="0" fontId="41" fillId="0" borderId="0" xfId="0" applyFont="1" applyFill="1" applyBorder="1" applyAlignment="1">
      <alignment horizontal="left" vertical="center" wrapText="1" indent="1" readingOrder="1"/>
    </xf>
    <xf numFmtId="0" fontId="7" fillId="0" borderId="0" xfId="0" applyFont="1" applyFill="1" applyBorder="1" applyAlignment="1"/>
    <xf numFmtId="0" fontId="41" fillId="0" borderId="0" xfId="0" applyFont="1" applyFill="1" applyBorder="1" applyAlignment="1">
      <alignment horizontal="left" vertical="center" readingOrder="1"/>
    </xf>
    <xf numFmtId="164" fontId="2" fillId="0" borderId="0" xfId="1" applyNumberFormat="1" applyFont="1"/>
    <xf numFmtId="164" fontId="0" fillId="0" borderId="0" xfId="0" applyNumberFormat="1" applyFont="1"/>
    <xf numFmtId="9" fontId="0" fillId="2" borderId="5" xfId="0" applyNumberFormat="1" applyFill="1" applyBorder="1" applyAlignment="1">
      <alignment horizontal="center"/>
    </xf>
    <xf numFmtId="9" fontId="0" fillId="2" borderId="6" xfId="0" applyNumberFormat="1" applyFill="1" applyBorder="1" applyAlignment="1">
      <alignment horizontal="center"/>
    </xf>
    <xf numFmtId="0" fontId="6" fillId="0" borderId="0" xfId="0" applyFont="1" applyFill="1" applyAlignment="1">
      <alignment horizontal="center"/>
    </xf>
    <xf numFmtId="0" fontId="6" fillId="0" borderId="0" xfId="0" quotePrefix="1" applyFont="1" applyFill="1" applyAlignment="1">
      <alignment horizontal="center"/>
    </xf>
    <xf numFmtId="166" fontId="0" fillId="0" borderId="0" xfId="3" applyNumberFormat="1" applyFont="1" applyFill="1"/>
    <xf numFmtId="164" fontId="0" fillId="0" borderId="0" xfId="1" applyNumberFormat="1" applyFont="1" applyFill="1"/>
    <xf numFmtId="6" fontId="0" fillId="0" borderId="0" xfId="0" applyNumberFormat="1" applyFill="1"/>
    <xf numFmtId="9" fontId="0" fillId="0" borderId="0" xfId="0" applyNumberFormat="1" applyFill="1"/>
    <xf numFmtId="9" fontId="0" fillId="0" borderId="0" xfId="1" applyFont="1" applyFill="1"/>
    <xf numFmtId="172" fontId="10" fillId="0" borderId="0" xfId="8" applyNumberFormat="1" applyFont="1" applyFill="1" applyBorder="1"/>
    <xf numFmtId="172" fontId="11" fillId="0" borderId="0" xfId="8" applyNumberFormat="1" applyFont="1" applyFill="1" applyBorder="1" applyAlignment="1">
      <alignment horizontal="left"/>
    </xf>
    <xf numFmtId="0" fontId="0" fillId="0" borderId="13" xfId="0" applyFill="1" applyBorder="1" applyAlignment="1">
      <alignment horizontal="left"/>
    </xf>
    <xf numFmtId="0" fontId="0" fillId="0" borderId="12" xfId="0" applyBorder="1"/>
    <xf numFmtId="165" fontId="2" fillId="0" borderId="0" xfId="3" applyNumberFormat="1" applyFont="1"/>
    <xf numFmtId="165" fontId="0" fillId="0" borderId="2" xfId="0" applyNumberFormat="1" applyBorder="1"/>
    <xf numFmtId="0" fontId="0" fillId="0" borderId="8" xfId="0" applyBorder="1"/>
    <xf numFmtId="0" fontId="0" fillId="0" borderId="10" xfId="0" applyBorder="1"/>
    <xf numFmtId="0" fontId="42" fillId="0" borderId="0" xfId="7" applyFont="1" applyAlignment="1" applyProtection="1">
      <alignment horizontal="left"/>
    </xf>
    <xf numFmtId="167" fontId="0" fillId="0" borderId="1" xfId="0" applyNumberFormat="1" applyFont="1" applyBorder="1"/>
    <xf numFmtId="167" fontId="0" fillId="0" borderId="2" xfId="0" applyNumberFormat="1" applyFont="1" applyBorder="1"/>
    <xf numFmtId="0" fontId="43" fillId="6" borderId="0" xfId="0" applyFont="1" applyFill="1"/>
    <xf numFmtId="14" fontId="38" fillId="6" borderId="0" xfId="0" quotePrefix="1" applyNumberFormat="1" applyFont="1" applyFill="1" applyAlignment="1">
      <alignment horizontal="center"/>
    </xf>
    <xf numFmtId="14" fontId="38" fillId="6" borderId="0" xfId="0" applyNumberFormat="1" applyFont="1" applyFill="1" applyAlignment="1">
      <alignment horizontal="center"/>
    </xf>
    <xf numFmtId="0" fontId="31" fillId="6" borderId="0" xfId="0" applyFont="1" applyFill="1" applyAlignment="1">
      <alignment horizontal="center"/>
    </xf>
    <xf numFmtId="0" fontId="30" fillId="6" borderId="0" xfId="0" applyFont="1" applyFill="1" applyAlignment="1">
      <alignment horizontal="center"/>
    </xf>
    <xf numFmtId="0" fontId="29" fillId="6" borderId="0" xfId="0" applyFont="1" applyFill="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7" xfId="0" applyFont="1" applyBorder="1" applyAlignment="1">
      <alignment horizontal="center"/>
    </xf>
    <xf numFmtId="169" fontId="0" fillId="0" borderId="3" xfId="0" applyNumberFormat="1" applyBorder="1" applyAlignment="1">
      <alignment horizontal="center"/>
    </xf>
    <xf numFmtId="169" fontId="0" fillId="0" borderId="7" xfId="0" applyNumberFormat="1" applyBorder="1" applyAlignment="1">
      <alignment horizontal="center"/>
    </xf>
    <xf numFmtId="0" fontId="7" fillId="0" borderId="3" xfId="0" applyFont="1" applyBorder="1" applyAlignment="1">
      <alignment horizontal="center"/>
    </xf>
    <xf numFmtId="0" fontId="7" fillId="0" borderId="14" xfId="0" applyFont="1" applyBorder="1" applyAlignment="1">
      <alignment horizontal="center"/>
    </xf>
    <xf numFmtId="0" fontId="7" fillId="0" borderId="7" xfId="0" applyFont="1" applyBorder="1" applyAlignment="1">
      <alignment horizontal="center"/>
    </xf>
    <xf numFmtId="0" fontId="0" fillId="0" borderId="14" xfId="0" applyFont="1" applyBorder="1" applyAlignment="1">
      <alignment horizontal="center"/>
    </xf>
    <xf numFmtId="0" fontId="0" fillId="0" borderId="7" xfId="0" applyFont="1" applyBorder="1" applyAlignment="1">
      <alignment horizontal="center"/>
    </xf>
  </cellXfs>
  <cellStyles count="9">
    <cellStyle name="Comma" xfId="3" builtinId="3"/>
    <cellStyle name="Comma 2" xfId="5"/>
    <cellStyle name="Currency" xfId="8" builtinId="4"/>
    <cellStyle name="Hyperlink" xfId="7" builtinId="8"/>
    <cellStyle name="Normal" xfId="0" builtinId="0"/>
    <cellStyle name="Normal 2" xfId="2"/>
    <cellStyle name="Normal 3" xfId="4"/>
    <cellStyle name="Percent" xfId="1" builtinId="5"/>
    <cellStyle name="Percent 2" xfId="6"/>
  </cellStyles>
  <dxfs count="0"/>
  <tableStyles count="0" defaultTableStyle="TableStyleMedium9" defaultPivotStyle="PivotStyleLight16"/>
  <colors>
    <mruColors>
      <color rgb="FF292929"/>
      <color rgb="FF0000FF"/>
      <color rgb="FF333333"/>
      <color rgb="FF1C1C1C"/>
      <color rgb="FF000000"/>
      <color rgb="FFCCFF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Market Penetration</a:t>
            </a:r>
          </a:p>
        </c:rich>
      </c:tx>
      <c:overlay val="0"/>
    </c:title>
    <c:autoTitleDeleted val="0"/>
    <c:plotArea>
      <c:layout/>
      <c:lineChart>
        <c:grouping val="standard"/>
        <c:varyColors val="0"/>
        <c:ser>
          <c:idx val="0"/>
          <c:order val="0"/>
          <c:tx>
            <c:v>In Year</c:v>
          </c:tx>
          <c:marker>
            <c:symbol val="none"/>
          </c:marker>
          <c:cat>
            <c:numRef>
              <c:f>'8'!$B$9:$K$9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'8'!$B$29:$K$29</c:f>
              <c:numCache>
                <c:formatCode>0.0%</c:formatCode>
                <c:ptCount val="10"/>
                <c:pt idx="0">
                  <c:v>2.4437500000000001E-2</c:v>
                </c:pt>
                <c:pt idx="1">
                  <c:v>2.5415E-2</c:v>
                </c:pt>
                <c:pt idx="2">
                  <c:v>2.6431599999999993E-2</c:v>
                </c:pt>
                <c:pt idx="3">
                  <c:v>2.7488864000000002E-2</c:v>
                </c:pt>
                <c:pt idx="4">
                  <c:v>2.8588418560000009E-2</c:v>
                </c:pt>
                <c:pt idx="5">
                  <c:v>2.8588418560000009E-2</c:v>
                </c:pt>
                <c:pt idx="6">
                  <c:v>3.0303723673600003E-2</c:v>
                </c:pt>
                <c:pt idx="7">
                  <c:v>3.2121947094016001E-2</c:v>
                </c:pt>
                <c:pt idx="8">
                  <c:v>3.4049263919656965E-2</c:v>
                </c:pt>
                <c:pt idx="9">
                  <c:v>3.6092219754836376E-2</c:v>
                </c:pt>
              </c:numCache>
            </c:numRef>
          </c:val>
          <c:smooth val="0"/>
        </c:ser>
        <c:ser>
          <c:idx val="1"/>
          <c:order val="1"/>
          <c:tx>
            <c:v>Cumulative</c:v>
          </c:tx>
          <c:marker>
            <c:symbol val="none"/>
          </c:marker>
          <c:cat>
            <c:numRef>
              <c:f>'8'!$B$9:$K$9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'8'!$B$34:$K$34</c:f>
              <c:numCache>
                <c:formatCode>0.0%</c:formatCode>
                <c:ptCount val="10"/>
                <c:pt idx="0">
                  <c:v>2.4437500000000001E-2</c:v>
                </c:pt>
                <c:pt idx="1">
                  <c:v>4.9852500000000001E-2</c:v>
                </c:pt>
                <c:pt idx="2">
                  <c:v>7.6284099999999994E-2</c:v>
                </c:pt>
                <c:pt idx="3">
                  <c:v>0.103772964</c:v>
                </c:pt>
                <c:pt idx="4">
                  <c:v>0.13236138256000002</c:v>
                </c:pt>
                <c:pt idx="5">
                  <c:v>0.16094980112000001</c:v>
                </c:pt>
                <c:pt idx="6">
                  <c:v>0.19125352479360003</c:v>
                </c:pt>
                <c:pt idx="7">
                  <c:v>0.22337547188761603</c:v>
                </c:pt>
                <c:pt idx="8">
                  <c:v>0.25742473580727299</c:v>
                </c:pt>
                <c:pt idx="9">
                  <c:v>0.29351695556210938</c:v>
                </c:pt>
              </c:numCache>
            </c:numRef>
          </c:val>
          <c:smooth val="0"/>
        </c:ser>
        <c:dLbls>
          <c:showLegendKey val="0"/>
          <c:showVal val="0"/>
          <c:showCatName val="0"/>
          <c:showSerName val="0"/>
          <c:showPercent val="0"/>
          <c:showBubbleSize val="0"/>
        </c:dLbls>
        <c:smooth val="0"/>
        <c:axId val="5950344"/>
        <c:axId val="147624464"/>
      </c:lineChart>
      <c:catAx>
        <c:axId val="5950344"/>
        <c:scaling>
          <c:orientation val="minMax"/>
        </c:scaling>
        <c:delete val="0"/>
        <c:axPos val="b"/>
        <c:numFmt formatCode="General" sourceLinked="1"/>
        <c:majorTickMark val="none"/>
        <c:minorTickMark val="none"/>
        <c:tickLblPos val="nextTo"/>
        <c:crossAx val="147624464"/>
        <c:crosses val="autoZero"/>
        <c:auto val="1"/>
        <c:lblAlgn val="ctr"/>
        <c:lblOffset val="100"/>
        <c:noMultiLvlLbl val="0"/>
      </c:catAx>
      <c:valAx>
        <c:axId val="147624464"/>
        <c:scaling>
          <c:orientation val="minMax"/>
        </c:scaling>
        <c:delete val="0"/>
        <c:axPos val="l"/>
        <c:majorGridlines/>
        <c:numFmt formatCode="0%" sourceLinked="0"/>
        <c:majorTickMark val="none"/>
        <c:minorTickMark val="none"/>
        <c:tickLblPos val="nextTo"/>
        <c:spPr>
          <a:ln w="9525">
            <a:noFill/>
          </a:ln>
        </c:spPr>
        <c:crossAx val="5950344"/>
        <c:crosses val="autoZero"/>
        <c:crossBetween val="between"/>
      </c:valAx>
    </c:plotArea>
    <c:legend>
      <c:legendPos val="b"/>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Breakdown of Revenues</a:t>
            </a:r>
            <a:r>
              <a:rPr lang="en-US" sz="1400" baseline="0"/>
              <a:t> by Year ($ Thousands)</a:t>
            </a:r>
            <a:endParaRPr lang="en-US" sz="1400"/>
          </a:p>
        </c:rich>
      </c:tx>
      <c:layout>
        <c:manualLayout>
          <c:xMode val="edge"/>
          <c:yMode val="edge"/>
          <c:x val="0.19292055815105077"/>
          <c:y val="8.5409214376455551E-3"/>
        </c:manualLayout>
      </c:layout>
      <c:overlay val="0"/>
    </c:title>
    <c:autoTitleDeleted val="0"/>
    <c:plotArea>
      <c:layout>
        <c:manualLayout>
          <c:layoutTarget val="inner"/>
          <c:xMode val="edge"/>
          <c:yMode val="edge"/>
          <c:x val="0.1357477451319595"/>
          <c:y val="0.19664698219655016"/>
          <c:w val="0.76321322778788314"/>
          <c:h val="0.48086530966892832"/>
        </c:manualLayout>
      </c:layout>
      <c:lineChart>
        <c:grouping val="standard"/>
        <c:varyColors val="0"/>
        <c:ser>
          <c:idx val="0"/>
          <c:order val="0"/>
          <c:tx>
            <c:strRef>
              <c:f>'9'!$A$3</c:f>
              <c:strCache>
                <c:ptCount val="1"/>
                <c:pt idx="0">
                  <c:v>Initial Fees from Sales in Current Year</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'9'!$B$18:$K$18</c:f>
              <c:numCache>
                <c:formatCode>"$"#,##0_);[Red]\("$"#,##0\)</c:formatCode>
                <c:ptCount val="10"/>
                <c:pt idx="0">
                  <c:v>44000</c:v>
                </c:pt>
                <c:pt idx="1">
                  <c:v>45760</c:v>
                </c:pt>
                <c:pt idx="2">
                  <c:v>47590.399999999994</c:v>
                </c:pt>
                <c:pt idx="3">
                  <c:v>49494.015999999996</c:v>
                </c:pt>
                <c:pt idx="4">
                  <c:v>51473.776639999996</c:v>
                </c:pt>
                <c:pt idx="5">
                  <c:v>51473.776639999996</c:v>
                </c:pt>
                <c:pt idx="6">
                  <c:v>54562.203238400005</c:v>
                </c:pt>
                <c:pt idx="7">
                  <c:v>57835.935432704013</c:v>
                </c:pt>
                <c:pt idx="8">
                  <c:v>61306.091558666267</c:v>
                </c:pt>
                <c:pt idx="9">
                  <c:v>64984.457052186226</c:v>
                </c:pt>
              </c:numCache>
            </c:numRef>
          </c:val>
          <c:smooth val="0"/>
        </c:ser>
        <c:ser>
          <c:idx val="1"/>
          <c:order val="1"/>
          <c:tx>
            <c:strRef>
              <c:f>'9'!$A$20</c:f>
              <c:strCache>
                <c:ptCount val="1"/>
                <c:pt idx="0">
                  <c:v>Annual Fees from Sales in Current Year</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'9'!$B$35:$K$35</c:f>
              <c:numCache>
                <c:formatCode>"$"#,##0_);[Red]\("$"#,##0\)</c:formatCode>
                <c:ptCount val="10"/>
                <c:pt idx="0">
                  <c:v>33875</c:v>
                </c:pt>
                <c:pt idx="1">
                  <c:v>35230</c:v>
                </c:pt>
                <c:pt idx="2">
                  <c:v>36639.200000000004</c:v>
                </c:pt>
                <c:pt idx="3">
                  <c:v>38104.767999999996</c:v>
                </c:pt>
                <c:pt idx="4">
                  <c:v>39628.958720000002</c:v>
                </c:pt>
                <c:pt idx="5">
                  <c:v>39628.958720000002</c:v>
                </c:pt>
                <c:pt idx="6">
                  <c:v>42006.696243200015</c:v>
                </c:pt>
                <c:pt idx="7">
                  <c:v>44527.098017792014</c:v>
                </c:pt>
                <c:pt idx="8">
                  <c:v>47198.723898859542</c:v>
                </c:pt>
                <c:pt idx="9">
                  <c:v>50030.647332791101</c:v>
                </c:pt>
              </c:numCache>
            </c:numRef>
          </c:val>
          <c:smooth val="0"/>
        </c:ser>
        <c:ser>
          <c:idx val="2"/>
          <c:order val="2"/>
          <c:tx>
            <c:strRef>
              <c:f>'9'!$A$37</c:f>
              <c:strCache>
                <c:ptCount val="1"/>
                <c:pt idx="0">
                  <c:v>Annual fees from Sales in Prior Years</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'9'!$B$52:$K$52</c:f>
              <c:numCache>
                <c:formatCode>_(* #,##0_);_(* \(#,##0\);_(* "-"??_);_(@_)</c:formatCode>
                <c:ptCount val="10"/>
                <c:pt idx="0" formatCode="&quot;$&quot;#,##0_);[Red]\(&quot;$&quot;#,##0\)">
                  <c:v>0</c:v>
                </c:pt>
                <c:pt idx="1">
                  <c:v>33875</c:v>
                </c:pt>
                <c:pt idx="2">
                  <c:v>69105</c:v>
                </c:pt>
                <c:pt idx="3">
                  <c:v>105744.2</c:v>
                </c:pt>
                <c:pt idx="4">
                  <c:v>143848.96799999999</c:v>
                </c:pt>
                <c:pt idx="5">
                  <c:v>183477.92672000002</c:v>
                </c:pt>
                <c:pt idx="6">
                  <c:v>223106.88543999998</c:v>
                </c:pt>
                <c:pt idx="7">
                  <c:v>265113.58168320003</c:v>
                </c:pt>
                <c:pt idx="8">
                  <c:v>309640.67970099207</c:v>
                </c:pt>
                <c:pt idx="9">
                  <c:v>356839.40359985159</c:v>
                </c:pt>
              </c:numCache>
            </c:numRef>
          </c:val>
          <c:smooth val="0"/>
        </c:ser>
        <c:ser>
          <c:idx val="3"/>
          <c:order val="3"/>
          <c:tx>
            <c:strRef>
              <c:f>'9'!$A$54</c:f>
              <c:strCache>
                <c:ptCount val="1"/>
                <c:pt idx="0">
                  <c:v>Total</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'9'!$B$54:$K$54</c:f>
              <c:numCache>
                <c:formatCode>"$"#,##0_);[Red]\("$"#,##0\)</c:formatCode>
                <c:ptCount val="10"/>
                <c:pt idx="0">
                  <c:v>77875</c:v>
                </c:pt>
                <c:pt idx="1">
                  <c:v>114865</c:v>
                </c:pt>
                <c:pt idx="2">
                  <c:v>153334.6</c:v>
                </c:pt>
                <c:pt idx="3">
                  <c:v>193342.984</c:v>
                </c:pt>
                <c:pt idx="4">
                  <c:v>234951.70335999998</c:v>
                </c:pt>
                <c:pt idx="5">
                  <c:v>274580.66208000004</c:v>
                </c:pt>
                <c:pt idx="6">
                  <c:v>319675.78492160002</c:v>
                </c:pt>
                <c:pt idx="7">
                  <c:v>367476.61513369606</c:v>
                </c:pt>
                <c:pt idx="8">
                  <c:v>418145.49515851785</c:v>
                </c:pt>
                <c:pt idx="9">
                  <c:v>471854.5079848289</c:v>
                </c:pt>
              </c:numCache>
            </c:numRef>
          </c:val>
          <c:smooth val="0"/>
        </c:ser>
        <c:dLbls>
          <c:showLegendKey val="0"/>
          <c:showVal val="0"/>
          <c:showCatName val="0"/>
          <c:showSerName val="0"/>
          <c:showPercent val="0"/>
          <c:showBubbleSize val="0"/>
        </c:dLbls>
        <c:smooth val="0"/>
        <c:axId val="145440232"/>
        <c:axId val="145439840"/>
      </c:lineChart>
      <c:catAx>
        <c:axId val="145440232"/>
        <c:scaling>
          <c:orientation val="minMax"/>
        </c:scaling>
        <c:delete val="0"/>
        <c:axPos val="b"/>
        <c:numFmt formatCode="General" sourceLinked="1"/>
        <c:majorTickMark val="none"/>
        <c:minorTickMark val="none"/>
        <c:tickLblPos val="nextTo"/>
        <c:crossAx val="145439840"/>
        <c:crosses val="autoZero"/>
        <c:auto val="1"/>
        <c:lblAlgn val="ctr"/>
        <c:lblOffset val="100"/>
        <c:noMultiLvlLbl val="0"/>
      </c:catAx>
      <c:valAx>
        <c:axId val="145439840"/>
        <c:scaling>
          <c:orientation val="minMax"/>
        </c:scaling>
        <c:delete val="0"/>
        <c:axPos val="l"/>
        <c:majorGridlines/>
        <c:numFmt formatCode="&quot;$&quot;#,##0_);[Red]\(&quot;$&quot;#,##0\)" sourceLinked="1"/>
        <c:majorTickMark val="none"/>
        <c:minorTickMark val="none"/>
        <c:tickLblPos val="nextTo"/>
        <c:spPr>
          <a:ln w="9525">
            <a:noFill/>
          </a:ln>
        </c:spPr>
        <c:crossAx val="145440232"/>
        <c:crosses val="autoZero"/>
        <c:crossBetween val="between"/>
      </c:valAx>
    </c:plotArea>
    <c:legend>
      <c:legendPos val="b"/>
      <c:layout>
        <c:manualLayout>
          <c:xMode val="edge"/>
          <c:yMode val="edge"/>
          <c:x val="0.13028827023552988"/>
          <c:y val="0.774537810132224"/>
          <c:w val="0.71196605652171463"/>
          <c:h val="0.197663051552518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TQ Forecasts</a:t>
            </a:r>
            <a:r>
              <a:rPr lang="en-US" sz="1300" baseline="0"/>
              <a:t> in SAI-Global, $ Millions</a:t>
            </a:r>
            <a:endParaRPr lang="en-US" sz="1300"/>
          </a:p>
        </c:rich>
      </c:tx>
      <c:layout>
        <c:manualLayout>
          <c:xMode val="edge"/>
          <c:yMode val="edge"/>
          <c:x val="0.17561954996491932"/>
          <c:y val="3.8188756237342768E-2"/>
        </c:manualLayout>
      </c:layout>
      <c:overlay val="0"/>
    </c:title>
    <c:autoTitleDeleted val="0"/>
    <c:plotArea>
      <c:layout/>
      <c:lineChart>
        <c:grouping val="standard"/>
        <c:varyColors val="0"/>
        <c:ser>
          <c:idx val="0"/>
          <c:order val="0"/>
          <c:tx>
            <c:v>Revenues</c:v>
          </c:tx>
          <c:marker>
            <c:symbol val="none"/>
          </c:marker>
          <c:cat>
            <c:numRef>
              <c:f>'12'!$B$3:$K$3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'10'!$B$18:$K$18</c:f>
              <c:numCache>
                <c:formatCode>_(* #,##0.0_);_(* \(#,##0.0\);_(* "-"??_);_(@_)</c:formatCode>
                <c:ptCount val="10"/>
                <c:pt idx="0">
                  <c:v>77.875</c:v>
                </c:pt>
                <c:pt idx="1">
                  <c:v>114.86499999999999</c:v>
                </c:pt>
                <c:pt idx="2">
                  <c:v>153.33460000000002</c:v>
                </c:pt>
                <c:pt idx="3">
                  <c:v>193.342984</c:v>
                </c:pt>
                <c:pt idx="4">
                  <c:v>234.95170335999995</c:v>
                </c:pt>
                <c:pt idx="5">
                  <c:v>274.58066208000002</c:v>
                </c:pt>
                <c:pt idx="6">
                  <c:v>319.67578492160004</c:v>
                </c:pt>
                <c:pt idx="7">
                  <c:v>367.47661513369599</c:v>
                </c:pt>
                <c:pt idx="8">
                  <c:v>418.14549515851786</c:v>
                </c:pt>
                <c:pt idx="9">
                  <c:v>471.85450798482896</c:v>
                </c:pt>
              </c:numCache>
            </c:numRef>
          </c:val>
          <c:smooth val="0"/>
        </c:ser>
        <c:ser>
          <c:idx val="1"/>
          <c:order val="1"/>
          <c:tx>
            <c:v>EBITDA</c:v>
          </c:tx>
          <c:marker>
            <c:symbol val="none"/>
          </c:marker>
          <c:cat>
            <c:numRef>
              <c:f>'12'!$B$3:$K$3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'12'!$B$11:$K$11</c:f>
              <c:numCache>
                <c:formatCode>"$"#,##0.0_);[Red]\("$"#,##0.0\)</c:formatCode>
                <c:ptCount val="10"/>
                <c:pt idx="0">
                  <c:v>11.681249999999999</c:v>
                </c:pt>
                <c:pt idx="1">
                  <c:v>28.716250000000002</c:v>
                </c:pt>
                <c:pt idx="2">
                  <c:v>38.333650000000006</c:v>
                </c:pt>
                <c:pt idx="3">
                  <c:v>48.335746</c:v>
                </c:pt>
                <c:pt idx="4">
                  <c:v>70.485511007999989</c:v>
                </c:pt>
                <c:pt idx="5">
                  <c:v>82.374198624000002</c:v>
                </c:pt>
                <c:pt idx="6">
                  <c:v>95.902735476480018</c:v>
                </c:pt>
                <c:pt idx="7">
                  <c:v>128.61681529679359</c:v>
                </c:pt>
                <c:pt idx="8">
                  <c:v>146.35092330548122</c:v>
                </c:pt>
                <c:pt idx="9">
                  <c:v>165.14907779469007</c:v>
                </c:pt>
              </c:numCache>
            </c:numRef>
          </c:val>
          <c:smooth val="0"/>
        </c:ser>
        <c:dLbls>
          <c:showLegendKey val="0"/>
          <c:showVal val="0"/>
          <c:showCatName val="0"/>
          <c:showSerName val="0"/>
          <c:showPercent val="0"/>
          <c:showBubbleSize val="0"/>
        </c:dLbls>
        <c:smooth val="0"/>
        <c:axId val="145439056"/>
        <c:axId val="211329528"/>
      </c:lineChart>
      <c:catAx>
        <c:axId val="145439056"/>
        <c:scaling>
          <c:orientation val="minMax"/>
        </c:scaling>
        <c:delete val="0"/>
        <c:axPos val="b"/>
        <c:numFmt formatCode="General" sourceLinked="1"/>
        <c:majorTickMark val="none"/>
        <c:minorTickMark val="none"/>
        <c:tickLblPos val="nextTo"/>
        <c:crossAx val="211329528"/>
        <c:crosses val="autoZero"/>
        <c:auto val="1"/>
        <c:lblAlgn val="ctr"/>
        <c:lblOffset val="100"/>
        <c:noMultiLvlLbl val="0"/>
      </c:catAx>
      <c:valAx>
        <c:axId val="211329528"/>
        <c:scaling>
          <c:orientation val="minMax"/>
        </c:scaling>
        <c:delete val="0"/>
        <c:axPos val="l"/>
        <c:majorGridlines/>
        <c:numFmt formatCode="#,##0" sourceLinked="0"/>
        <c:majorTickMark val="none"/>
        <c:minorTickMark val="none"/>
        <c:tickLblPos val="nextTo"/>
        <c:spPr>
          <a:ln w="9525">
            <a:noFill/>
          </a:ln>
        </c:spPr>
        <c:crossAx val="145439056"/>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SAI Global </a:t>
            </a:r>
            <a:r>
              <a:rPr lang="en-US" sz="1200" baseline="0"/>
              <a:t> with and without TQ, $ Millions</a:t>
            </a:r>
            <a:endParaRPr lang="en-US" sz="1200"/>
          </a:p>
        </c:rich>
      </c:tx>
      <c:layout/>
      <c:overlay val="0"/>
    </c:title>
    <c:autoTitleDeleted val="0"/>
    <c:plotArea>
      <c:layout/>
      <c:lineChart>
        <c:grouping val="standard"/>
        <c:varyColors val="0"/>
        <c:ser>
          <c:idx val="0"/>
          <c:order val="0"/>
          <c:tx>
            <c:v>SAI Global EBITDA w/o TQ</c:v>
          </c:tx>
          <c:marker>
            <c:symbol val="none"/>
          </c:marker>
          <c:cat>
            <c:numRef>
              <c:f>'14'!$B$19:$K$19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'14'!$B$16:$K$16</c:f>
              <c:numCache>
                <c:formatCode>_(* #,##0.0_);_(* \(#,##0.0\);_(* "-"??_);_(@_)</c:formatCode>
                <c:ptCount val="10"/>
                <c:pt idx="0">
                  <c:v>83.757300000000001</c:v>
                </c:pt>
                <c:pt idx="1">
                  <c:v>101.346333</c:v>
                </c:pt>
                <c:pt idx="2">
                  <c:v>122.62906293</c:v>
                </c:pt>
                <c:pt idx="3">
                  <c:v>148.3811661453</c:v>
                </c:pt>
                <c:pt idx="4">
                  <c:v>179.54121103581301</c:v>
                </c:pt>
                <c:pt idx="5">
                  <c:v>217.24486535333372</c:v>
                </c:pt>
                <c:pt idx="6">
                  <c:v>262.8662870775338</c:v>
                </c:pt>
                <c:pt idx="7">
                  <c:v>318.06820736381587</c:v>
                </c:pt>
                <c:pt idx="8">
                  <c:v>384.86253091021717</c:v>
                </c:pt>
                <c:pt idx="9">
                  <c:v>465.68366240136277</c:v>
                </c:pt>
              </c:numCache>
            </c:numRef>
          </c:val>
          <c:smooth val="0"/>
        </c:ser>
        <c:ser>
          <c:idx val="1"/>
          <c:order val="1"/>
          <c:tx>
            <c:v>SAI Global Revenues w/o TQ</c:v>
          </c:tx>
          <c:marker>
            <c:symbol val="none"/>
          </c:marker>
          <c:val>
            <c:numRef>
              <c:f>'14'!$B$15:$K$15</c:f>
              <c:numCache>
                <c:formatCode>_(* #,##0.0_);_(* \(#,##0.0\);_(* "-"??_);_(@_)</c:formatCode>
                <c:ptCount val="10"/>
                <c:pt idx="0">
                  <c:v>435.8771636363636</c:v>
                </c:pt>
                <c:pt idx="1">
                  <c:v>531.77013963636364</c:v>
                </c:pt>
                <c:pt idx="2">
                  <c:v>648.75957035636361</c:v>
                </c:pt>
                <c:pt idx="3">
                  <c:v>791.48667583476356</c:v>
                </c:pt>
                <c:pt idx="4">
                  <c:v>965.61374451841152</c:v>
                </c:pt>
                <c:pt idx="5">
                  <c:v>1178.048768312462</c:v>
                </c:pt>
                <c:pt idx="6">
                  <c:v>1437.2194973412036</c:v>
                </c:pt>
                <c:pt idx="7">
                  <c:v>1753.4077867562683</c:v>
                </c:pt>
                <c:pt idx="8">
                  <c:v>2139.1574998426472</c:v>
                </c:pt>
                <c:pt idx="9">
                  <c:v>2609.7721498080296</c:v>
                </c:pt>
              </c:numCache>
            </c:numRef>
          </c:val>
          <c:smooth val="0"/>
        </c:ser>
        <c:ser>
          <c:idx val="2"/>
          <c:order val="2"/>
          <c:tx>
            <c:v>SAI Global Revenues with TQ</c:v>
          </c:tx>
          <c:marker>
            <c:symbol val="none"/>
          </c:marker>
          <c:val>
            <c:numRef>
              <c:f>'14'!$B$20:$K$20</c:f>
              <c:numCache>
                <c:formatCode>_(* #,##0.0_);_(* \(#,##0.0\);_(* "-"??_);_(@_)</c:formatCode>
                <c:ptCount val="10"/>
                <c:pt idx="0">
                  <c:v>513.75216363636355</c:v>
                </c:pt>
                <c:pt idx="1">
                  <c:v>646.63513963636365</c:v>
                </c:pt>
                <c:pt idx="2">
                  <c:v>802.09417035636363</c:v>
                </c:pt>
                <c:pt idx="3">
                  <c:v>984.82965983476356</c:v>
                </c:pt>
                <c:pt idx="4">
                  <c:v>1200.5654478784115</c:v>
                </c:pt>
                <c:pt idx="5">
                  <c:v>1452.6294303924619</c:v>
                </c:pt>
                <c:pt idx="6">
                  <c:v>1756.8952822628037</c:v>
                </c:pt>
                <c:pt idx="7">
                  <c:v>2120.8844018899645</c:v>
                </c:pt>
                <c:pt idx="8">
                  <c:v>2557.3029950011651</c:v>
                </c:pt>
                <c:pt idx="9">
                  <c:v>3081.6266577928586</c:v>
                </c:pt>
              </c:numCache>
            </c:numRef>
          </c:val>
          <c:smooth val="0"/>
        </c:ser>
        <c:ser>
          <c:idx val="3"/>
          <c:order val="3"/>
          <c:tx>
            <c:v>SAI Global EBITDA with TQ</c:v>
          </c:tx>
          <c:marker>
            <c:symbol val="none"/>
          </c:marker>
          <c:val>
            <c:numRef>
              <c:f>'14'!$B$21:$K$21</c:f>
              <c:numCache>
                <c:formatCode>_(* #,##0.0_);_(* \(#,##0.0\);_(* "-"??_);_(@_)</c:formatCode>
                <c:ptCount val="10"/>
                <c:pt idx="0">
                  <c:v>95.438549999999992</c:v>
                </c:pt>
                <c:pt idx="1">
                  <c:v>130.06258300000002</c:v>
                </c:pt>
                <c:pt idx="2">
                  <c:v>160.96271293000001</c:v>
                </c:pt>
                <c:pt idx="3">
                  <c:v>196.7169121453</c:v>
                </c:pt>
                <c:pt idx="4">
                  <c:v>250.02672204381298</c:v>
                </c:pt>
                <c:pt idx="5">
                  <c:v>299.61906397733372</c:v>
                </c:pt>
                <c:pt idx="6">
                  <c:v>358.76902255401382</c:v>
                </c:pt>
                <c:pt idx="7">
                  <c:v>446.68502266060943</c:v>
                </c:pt>
                <c:pt idx="8">
                  <c:v>531.21345421569845</c:v>
                </c:pt>
                <c:pt idx="9">
                  <c:v>630.83274019605278</c:v>
                </c:pt>
              </c:numCache>
            </c:numRef>
          </c:val>
          <c:smooth val="0"/>
        </c:ser>
        <c:dLbls>
          <c:showLegendKey val="0"/>
          <c:showVal val="0"/>
          <c:showCatName val="0"/>
          <c:showSerName val="0"/>
          <c:showPercent val="0"/>
          <c:showBubbleSize val="0"/>
        </c:dLbls>
        <c:smooth val="0"/>
        <c:axId val="211330312"/>
        <c:axId val="211330704"/>
      </c:lineChart>
      <c:catAx>
        <c:axId val="211330312"/>
        <c:scaling>
          <c:orientation val="minMax"/>
        </c:scaling>
        <c:delete val="0"/>
        <c:axPos val="b"/>
        <c:numFmt formatCode="General" sourceLinked="1"/>
        <c:majorTickMark val="none"/>
        <c:minorTickMark val="none"/>
        <c:tickLblPos val="nextTo"/>
        <c:crossAx val="211330704"/>
        <c:crosses val="autoZero"/>
        <c:auto val="1"/>
        <c:lblAlgn val="ctr"/>
        <c:lblOffset val="100"/>
        <c:noMultiLvlLbl val="0"/>
      </c:catAx>
      <c:valAx>
        <c:axId val="211330704"/>
        <c:scaling>
          <c:orientation val="minMax"/>
        </c:scaling>
        <c:delete val="0"/>
        <c:axPos val="l"/>
        <c:majorGridlines/>
        <c:numFmt formatCode="#,##0" sourceLinked="0"/>
        <c:majorTickMark val="none"/>
        <c:minorTickMark val="none"/>
        <c:tickLblPos val="nextTo"/>
        <c:spPr>
          <a:ln w="9525">
            <a:noFill/>
          </a:ln>
        </c:spPr>
        <c:crossAx val="211330312"/>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SAI Global EPS Dilution from Transaction</a:t>
            </a:r>
          </a:p>
        </c:rich>
      </c:tx>
      <c:layout/>
      <c:overlay val="0"/>
    </c:title>
    <c:autoTitleDeleted val="0"/>
    <c:plotArea>
      <c:layout/>
      <c:lineChart>
        <c:grouping val="stacked"/>
        <c:varyColors val="0"/>
        <c:ser>
          <c:idx val="0"/>
          <c:order val="0"/>
          <c:tx>
            <c:v>SAI Global EPS Dilution from Transaction</c:v>
          </c:tx>
          <c:marker>
            <c:symbol val="none"/>
          </c:marker>
          <c:cat>
            <c:numRef>
              <c:f>'18'!$B$15:$K$15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'18'!$B$76:$K$76</c:f>
              <c:numCache>
                <c:formatCode>0.0_);[Red]\(0.0\)</c:formatCode>
                <c:ptCount val="10"/>
                <c:pt idx="0">
                  <c:v>-27.677179499999998</c:v>
                </c:pt>
                <c:pt idx="1">
                  <c:v>-37.718149070000003</c:v>
                </c:pt>
                <c:pt idx="2">
                  <c:v>-46.679186749700001</c:v>
                </c:pt>
                <c:pt idx="3">
                  <c:v>-12.362393217642101</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smooth val="0"/>
        <c:axId val="211331488"/>
        <c:axId val="211331880"/>
      </c:lineChart>
      <c:catAx>
        <c:axId val="211331488"/>
        <c:scaling>
          <c:orientation val="minMax"/>
        </c:scaling>
        <c:delete val="0"/>
        <c:axPos val="b"/>
        <c:numFmt formatCode="General" sourceLinked="1"/>
        <c:majorTickMark val="none"/>
        <c:minorTickMark val="none"/>
        <c:tickLblPos val="nextTo"/>
        <c:txPr>
          <a:bodyPr rot="-2160000" vert="horz"/>
          <a:lstStyle/>
          <a:p>
            <a:pPr>
              <a:defRPr/>
            </a:pPr>
            <a:endParaRPr lang="en-US"/>
          </a:p>
        </c:txPr>
        <c:crossAx val="211331880"/>
        <c:crosses val="autoZero"/>
        <c:auto val="1"/>
        <c:lblAlgn val="ctr"/>
        <c:lblOffset val="100"/>
        <c:noMultiLvlLbl val="0"/>
      </c:catAx>
      <c:valAx>
        <c:axId val="211331880"/>
        <c:scaling>
          <c:orientation val="minMax"/>
          <c:min val="-50"/>
        </c:scaling>
        <c:delete val="0"/>
        <c:axPos val="l"/>
        <c:majorGridlines/>
        <c:numFmt formatCode="0_);[Red]\(0\)" sourceLinked="0"/>
        <c:majorTickMark val="none"/>
        <c:minorTickMark val="none"/>
        <c:tickLblPos val="nextTo"/>
        <c:spPr>
          <a:ln w="9525">
            <a:noFill/>
          </a:ln>
        </c:spPr>
        <c:crossAx val="211331488"/>
        <c:crosses val="autoZero"/>
        <c:crossBetween val="between"/>
      </c:valAx>
    </c:plotArea>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ThoughtQuest</a:t>
            </a:r>
            <a:r>
              <a:rPr lang="en-US" sz="1400" baseline="0"/>
              <a:t> Valuation, $ Millions</a:t>
            </a:r>
            <a:endParaRPr lang="en-US" sz="1400"/>
          </a:p>
        </c:rich>
      </c:tx>
      <c:layout/>
      <c:overlay val="0"/>
    </c:title>
    <c:autoTitleDeleted val="0"/>
    <c:plotArea>
      <c:layout/>
      <c:barChart>
        <c:barDir val="col"/>
        <c:grouping val="clustered"/>
        <c:varyColors val="0"/>
        <c:ser>
          <c:idx val="0"/>
          <c:order val="0"/>
          <c:tx>
            <c:strRef>
              <c:f>'16'!$A$5</c:f>
              <c:strCache>
                <c:ptCount val="1"/>
                <c:pt idx="0">
                  <c:v>10 Years of Cash Flows</c:v>
                </c:pt>
              </c:strCache>
            </c:strRef>
          </c:tx>
          <c:invertIfNegative val="0"/>
          <c:val>
            <c:numRef>
              <c:f>'16'!$B$10</c:f>
              <c:numCache>
                <c:formatCode>_(* #,##0.0_);_(* \(#,##0.0\);_(* "-"??_);_(@_)</c:formatCode>
                <c:ptCount val="1"/>
                <c:pt idx="0">
                  <c:v>429.09278805980034</c:v>
                </c:pt>
              </c:numCache>
            </c:numRef>
          </c:val>
        </c:ser>
        <c:ser>
          <c:idx val="2"/>
          <c:order val="1"/>
          <c:tx>
            <c:strRef>
              <c:f>'16'!$A$13</c:f>
              <c:strCache>
                <c:ptCount val="1"/>
                <c:pt idx="0">
                  <c:v>5 Years of Cash Flows</c:v>
                </c:pt>
              </c:strCache>
            </c:strRef>
          </c:tx>
          <c:invertIfNegative val="0"/>
          <c:val>
            <c:numRef>
              <c:f>'16'!$B$18</c:f>
              <c:numCache>
                <c:formatCode>_(* #,##0.0_);_(* \(#,##0.0\);_(* "-"??_);_(@_)</c:formatCode>
                <c:ptCount val="1"/>
                <c:pt idx="0">
                  <c:v>183.018765576248</c:v>
                </c:pt>
              </c:numCache>
            </c:numRef>
          </c:val>
        </c:ser>
        <c:ser>
          <c:idx val="1"/>
          <c:order val="2"/>
          <c:tx>
            <c:strRef>
              <c:f>'16'!$A$21</c:f>
              <c:strCache>
                <c:ptCount val="1"/>
                <c:pt idx="0">
                  <c:v>5 Years of Cash Flows Beginning in 2016</c:v>
                </c:pt>
              </c:strCache>
            </c:strRef>
          </c:tx>
          <c:invertIfNegative val="0"/>
          <c:val>
            <c:numRef>
              <c:f>'16'!$B$26</c:f>
              <c:numCache>
                <c:formatCode>_(* #,##0.0_);_(* \(#,##0.0\);_(* "-"??_);_(@_)</c:formatCode>
                <c:ptCount val="1"/>
                <c:pt idx="0">
                  <c:v>28.073628749125334</c:v>
                </c:pt>
              </c:numCache>
            </c:numRef>
          </c:val>
        </c:ser>
        <c:dLbls>
          <c:showLegendKey val="0"/>
          <c:showVal val="0"/>
          <c:showCatName val="0"/>
          <c:showSerName val="0"/>
          <c:showPercent val="0"/>
          <c:showBubbleSize val="0"/>
        </c:dLbls>
        <c:gapWidth val="75"/>
        <c:overlap val="-25"/>
        <c:axId val="211332664"/>
        <c:axId val="211333056"/>
      </c:barChart>
      <c:catAx>
        <c:axId val="211332664"/>
        <c:scaling>
          <c:orientation val="minMax"/>
        </c:scaling>
        <c:delete val="1"/>
        <c:axPos val="b"/>
        <c:majorTickMark val="none"/>
        <c:minorTickMark val="none"/>
        <c:tickLblPos val="none"/>
        <c:crossAx val="211333056"/>
        <c:crosses val="autoZero"/>
        <c:auto val="1"/>
        <c:lblAlgn val="ctr"/>
        <c:lblOffset val="100"/>
        <c:noMultiLvlLbl val="0"/>
      </c:catAx>
      <c:valAx>
        <c:axId val="211333056"/>
        <c:scaling>
          <c:orientation val="minMax"/>
        </c:scaling>
        <c:delete val="0"/>
        <c:axPos val="l"/>
        <c:majorGridlines/>
        <c:numFmt formatCode="#,##0" sourceLinked="0"/>
        <c:majorTickMark val="none"/>
        <c:minorTickMark val="none"/>
        <c:tickLblPos val="nextTo"/>
        <c:spPr>
          <a:ln w="9525">
            <a:noFill/>
          </a:ln>
        </c:spPr>
        <c:crossAx val="211332664"/>
        <c:crosses val="autoZero"/>
        <c:crossBetween val="between"/>
      </c:valAx>
    </c:plotArea>
    <c:legend>
      <c:legendPos val="b"/>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Breakdown of Revenues</a:t>
            </a:r>
            <a:r>
              <a:rPr lang="en-US" sz="1400" baseline="0"/>
              <a:t> by Year ($ Thousands)</a:t>
            </a:r>
            <a:endParaRPr lang="en-US" sz="1400"/>
          </a:p>
        </c:rich>
      </c:tx>
      <c:overlay val="0"/>
    </c:title>
    <c:autoTitleDeleted val="0"/>
    <c:plotArea>
      <c:layout>
        <c:manualLayout>
          <c:layoutTarget val="inner"/>
          <c:xMode val="edge"/>
          <c:yMode val="edge"/>
          <c:x val="0.13574774513195945"/>
          <c:y val="0.15394230400828743"/>
          <c:w val="0.83957935621925739"/>
          <c:h val="0.52356976412231238"/>
        </c:manualLayout>
      </c:layout>
      <c:lineChart>
        <c:grouping val="standard"/>
        <c:varyColors val="0"/>
        <c:ser>
          <c:idx val="0"/>
          <c:order val="0"/>
          <c:tx>
            <c:strRef>
              <c:f>'9'!$A$3</c:f>
              <c:strCache>
                <c:ptCount val="1"/>
                <c:pt idx="0">
                  <c:v>Initial Fees from Sales in Current Year</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'9'!$B$18:$K$18</c:f>
              <c:numCache>
                <c:formatCode>"$"#,##0_);[Red]\("$"#,##0\)</c:formatCode>
                <c:ptCount val="10"/>
                <c:pt idx="0">
                  <c:v>44000</c:v>
                </c:pt>
                <c:pt idx="1">
                  <c:v>45760</c:v>
                </c:pt>
                <c:pt idx="2">
                  <c:v>47590.399999999994</c:v>
                </c:pt>
                <c:pt idx="3">
                  <c:v>49494.015999999996</c:v>
                </c:pt>
                <c:pt idx="4">
                  <c:v>51473.776639999996</c:v>
                </c:pt>
                <c:pt idx="5">
                  <c:v>51473.776639999996</c:v>
                </c:pt>
                <c:pt idx="6">
                  <c:v>54562.203238400005</c:v>
                </c:pt>
                <c:pt idx="7">
                  <c:v>57835.935432704013</c:v>
                </c:pt>
                <c:pt idx="8">
                  <c:v>61306.091558666267</c:v>
                </c:pt>
                <c:pt idx="9">
                  <c:v>64984.457052186226</c:v>
                </c:pt>
              </c:numCache>
            </c:numRef>
          </c:val>
          <c:smooth val="0"/>
        </c:ser>
        <c:ser>
          <c:idx val="1"/>
          <c:order val="1"/>
          <c:tx>
            <c:strRef>
              <c:f>'9'!$A$20</c:f>
              <c:strCache>
                <c:ptCount val="1"/>
                <c:pt idx="0">
                  <c:v>Annual Fees from Sales in Current Year</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'9'!$B$35:$K$35</c:f>
              <c:numCache>
                <c:formatCode>"$"#,##0_);[Red]\("$"#,##0\)</c:formatCode>
                <c:ptCount val="10"/>
                <c:pt idx="0">
                  <c:v>33875</c:v>
                </c:pt>
                <c:pt idx="1">
                  <c:v>35230</c:v>
                </c:pt>
                <c:pt idx="2">
                  <c:v>36639.200000000004</c:v>
                </c:pt>
                <c:pt idx="3">
                  <c:v>38104.767999999996</c:v>
                </c:pt>
                <c:pt idx="4">
                  <c:v>39628.958720000002</c:v>
                </c:pt>
                <c:pt idx="5">
                  <c:v>39628.958720000002</c:v>
                </c:pt>
                <c:pt idx="6">
                  <c:v>42006.696243200015</c:v>
                </c:pt>
                <c:pt idx="7">
                  <c:v>44527.098017792014</c:v>
                </c:pt>
                <c:pt idx="8">
                  <c:v>47198.723898859542</c:v>
                </c:pt>
                <c:pt idx="9">
                  <c:v>50030.647332791101</c:v>
                </c:pt>
              </c:numCache>
            </c:numRef>
          </c:val>
          <c:smooth val="0"/>
        </c:ser>
        <c:ser>
          <c:idx val="2"/>
          <c:order val="2"/>
          <c:tx>
            <c:strRef>
              <c:f>'9'!$A$37</c:f>
              <c:strCache>
                <c:ptCount val="1"/>
                <c:pt idx="0">
                  <c:v>Annual fees from Sales in Prior Years</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'9'!$B$52:$K$52</c:f>
              <c:numCache>
                <c:formatCode>_(* #,##0_);_(* \(#,##0\);_(* "-"??_);_(@_)</c:formatCode>
                <c:ptCount val="10"/>
                <c:pt idx="0" formatCode="&quot;$&quot;#,##0_);[Red]\(&quot;$&quot;#,##0\)">
                  <c:v>0</c:v>
                </c:pt>
                <c:pt idx="1">
                  <c:v>33875</c:v>
                </c:pt>
                <c:pt idx="2">
                  <c:v>69105</c:v>
                </c:pt>
                <c:pt idx="3">
                  <c:v>105744.2</c:v>
                </c:pt>
                <c:pt idx="4">
                  <c:v>143848.96799999999</c:v>
                </c:pt>
                <c:pt idx="5">
                  <c:v>183477.92672000002</c:v>
                </c:pt>
                <c:pt idx="6">
                  <c:v>223106.88543999998</c:v>
                </c:pt>
                <c:pt idx="7">
                  <c:v>265113.58168320003</c:v>
                </c:pt>
                <c:pt idx="8">
                  <c:v>309640.67970099207</c:v>
                </c:pt>
                <c:pt idx="9">
                  <c:v>356839.40359985159</c:v>
                </c:pt>
              </c:numCache>
            </c:numRef>
          </c:val>
          <c:smooth val="0"/>
        </c:ser>
        <c:ser>
          <c:idx val="3"/>
          <c:order val="3"/>
          <c:tx>
            <c:strRef>
              <c:f>'9'!$A$54</c:f>
              <c:strCache>
                <c:ptCount val="1"/>
                <c:pt idx="0">
                  <c:v>Total</c:v>
                </c:pt>
              </c:strCache>
            </c:strRef>
          </c:tx>
          <c:marker>
            <c:symbol val="none"/>
          </c:marker>
          <c:cat>
            <c:numRef>
              <c:f>'9'!$B$38:$K$38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'9'!$B$54:$K$54</c:f>
              <c:numCache>
                <c:formatCode>"$"#,##0_);[Red]\("$"#,##0\)</c:formatCode>
                <c:ptCount val="10"/>
                <c:pt idx="0">
                  <c:v>77875</c:v>
                </c:pt>
                <c:pt idx="1">
                  <c:v>114865</c:v>
                </c:pt>
                <c:pt idx="2">
                  <c:v>153334.6</c:v>
                </c:pt>
                <c:pt idx="3">
                  <c:v>193342.984</c:v>
                </c:pt>
                <c:pt idx="4">
                  <c:v>234951.70335999998</c:v>
                </c:pt>
                <c:pt idx="5">
                  <c:v>274580.66208000004</c:v>
                </c:pt>
                <c:pt idx="6">
                  <c:v>319675.78492160002</c:v>
                </c:pt>
                <c:pt idx="7">
                  <c:v>367476.61513369606</c:v>
                </c:pt>
                <c:pt idx="8">
                  <c:v>418145.49515851785</c:v>
                </c:pt>
                <c:pt idx="9">
                  <c:v>471854.5079848289</c:v>
                </c:pt>
              </c:numCache>
            </c:numRef>
          </c:val>
          <c:smooth val="0"/>
        </c:ser>
        <c:dLbls>
          <c:showLegendKey val="0"/>
          <c:showVal val="0"/>
          <c:showCatName val="0"/>
          <c:showSerName val="0"/>
          <c:showPercent val="0"/>
          <c:showBubbleSize val="0"/>
        </c:dLbls>
        <c:smooth val="0"/>
        <c:axId val="209880928"/>
        <c:axId val="209885408"/>
      </c:lineChart>
      <c:catAx>
        <c:axId val="209880928"/>
        <c:scaling>
          <c:orientation val="minMax"/>
        </c:scaling>
        <c:delete val="0"/>
        <c:axPos val="b"/>
        <c:numFmt formatCode="General" sourceLinked="1"/>
        <c:majorTickMark val="none"/>
        <c:minorTickMark val="none"/>
        <c:tickLblPos val="nextTo"/>
        <c:crossAx val="209885408"/>
        <c:crosses val="autoZero"/>
        <c:auto val="1"/>
        <c:lblAlgn val="ctr"/>
        <c:lblOffset val="100"/>
        <c:noMultiLvlLbl val="0"/>
      </c:catAx>
      <c:valAx>
        <c:axId val="209885408"/>
        <c:scaling>
          <c:orientation val="minMax"/>
        </c:scaling>
        <c:delete val="0"/>
        <c:axPos val="l"/>
        <c:majorGridlines/>
        <c:numFmt formatCode="&quot;$&quot;#,##0_);[Red]\(&quot;$&quot;#,##0\)" sourceLinked="1"/>
        <c:majorTickMark val="none"/>
        <c:minorTickMark val="none"/>
        <c:tickLblPos val="nextTo"/>
        <c:spPr>
          <a:ln w="9525">
            <a:noFill/>
          </a:ln>
        </c:spPr>
        <c:crossAx val="209880928"/>
        <c:crosses val="autoZero"/>
        <c:crossBetween val="between"/>
      </c:valAx>
    </c:plotArea>
    <c:legend>
      <c:legendPos val="b"/>
      <c:layout>
        <c:manualLayout>
          <c:xMode val="edge"/>
          <c:yMode val="edge"/>
          <c:x val="0.13028827023552988"/>
          <c:y val="0.774537810132224"/>
          <c:w val="0.71196605652171463"/>
          <c:h val="0.197663051552518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TQ Forecasts</a:t>
            </a:r>
            <a:r>
              <a:rPr lang="en-US" sz="1300" baseline="0"/>
              <a:t> in SAI-Global, $ Millions</a:t>
            </a:r>
            <a:endParaRPr lang="en-US" sz="1300"/>
          </a:p>
        </c:rich>
      </c:tx>
      <c:layout>
        <c:manualLayout>
          <c:xMode val="edge"/>
          <c:yMode val="edge"/>
          <c:x val="0.17561954996491932"/>
          <c:y val="3.8188756237342775E-2"/>
        </c:manualLayout>
      </c:layout>
      <c:overlay val="0"/>
    </c:title>
    <c:autoTitleDeleted val="0"/>
    <c:plotArea>
      <c:layout/>
      <c:lineChart>
        <c:grouping val="standard"/>
        <c:varyColors val="0"/>
        <c:ser>
          <c:idx val="0"/>
          <c:order val="0"/>
          <c:tx>
            <c:v>Revenues</c:v>
          </c:tx>
          <c:marker>
            <c:symbol val="none"/>
          </c:marker>
          <c:cat>
            <c:numRef>
              <c:f>'12'!$B$3:$K$3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'10'!$B$18:$K$18</c:f>
              <c:numCache>
                <c:formatCode>_(* #,##0.0_);_(* \(#,##0.0\);_(* "-"??_);_(@_)</c:formatCode>
                <c:ptCount val="10"/>
                <c:pt idx="0">
                  <c:v>77.875</c:v>
                </c:pt>
                <c:pt idx="1">
                  <c:v>114.86499999999999</c:v>
                </c:pt>
                <c:pt idx="2">
                  <c:v>153.33460000000002</c:v>
                </c:pt>
                <c:pt idx="3">
                  <c:v>193.342984</c:v>
                </c:pt>
                <c:pt idx="4">
                  <c:v>234.95170335999995</c:v>
                </c:pt>
                <c:pt idx="5">
                  <c:v>274.58066208000002</c:v>
                </c:pt>
                <c:pt idx="6">
                  <c:v>319.67578492160004</c:v>
                </c:pt>
                <c:pt idx="7">
                  <c:v>367.47661513369599</c:v>
                </c:pt>
                <c:pt idx="8">
                  <c:v>418.14549515851786</c:v>
                </c:pt>
                <c:pt idx="9">
                  <c:v>471.85450798482896</c:v>
                </c:pt>
              </c:numCache>
            </c:numRef>
          </c:val>
          <c:smooth val="0"/>
        </c:ser>
        <c:ser>
          <c:idx val="1"/>
          <c:order val="1"/>
          <c:tx>
            <c:v>EBITDA</c:v>
          </c:tx>
          <c:marker>
            <c:symbol val="none"/>
          </c:marker>
          <c:cat>
            <c:numRef>
              <c:f>'12'!$B$3:$K$3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'12'!$B$11:$K$11</c:f>
              <c:numCache>
                <c:formatCode>"$"#,##0.0_);[Red]\("$"#,##0.0\)</c:formatCode>
                <c:ptCount val="10"/>
                <c:pt idx="0">
                  <c:v>11.681249999999999</c:v>
                </c:pt>
                <c:pt idx="1">
                  <c:v>28.716250000000002</c:v>
                </c:pt>
                <c:pt idx="2">
                  <c:v>38.333650000000006</c:v>
                </c:pt>
                <c:pt idx="3">
                  <c:v>48.335746</c:v>
                </c:pt>
                <c:pt idx="4">
                  <c:v>70.485511007999989</c:v>
                </c:pt>
                <c:pt idx="5">
                  <c:v>82.374198624000002</c:v>
                </c:pt>
                <c:pt idx="6">
                  <c:v>95.902735476480018</c:v>
                </c:pt>
                <c:pt idx="7">
                  <c:v>128.61681529679359</c:v>
                </c:pt>
                <c:pt idx="8">
                  <c:v>146.35092330548122</c:v>
                </c:pt>
                <c:pt idx="9">
                  <c:v>165.14907779469007</c:v>
                </c:pt>
              </c:numCache>
            </c:numRef>
          </c:val>
          <c:smooth val="0"/>
        </c:ser>
        <c:dLbls>
          <c:showLegendKey val="0"/>
          <c:showVal val="0"/>
          <c:showCatName val="0"/>
          <c:showSerName val="0"/>
          <c:showPercent val="0"/>
          <c:showBubbleSize val="0"/>
        </c:dLbls>
        <c:smooth val="0"/>
        <c:axId val="147107744"/>
        <c:axId val="147108128"/>
      </c:lineChart>
      <c:catAx>
        <c:axId val="147107744"/>
        <c:scaling>
          <c:orientation val="minMax"/>
        </c:scaling>
        <c:delete val="0"/>
        <c:axPos val="b"/>
        <c:numFmt formatCode="General" sourceLinked="1"/>
        <c:majorTickMark val="none"/>
        <c:minorTickMark val="none"/>
        <c:tickLblPos val="nextTo"/>
        <c:crossAx val="147108128"/>
        <c:crosses val="autoZero"/>
        <c:auto val="1"/>
        <c:lblAlgn val="ctr"/>
        <c:lblOffset val="100"/>
        <c:noMultiLvlLbl val="0"/>
      </c:catAx>
      <c:valAx>
        <c:axId val="147108128"/>
        <c:scaling>
          <c:orientation val="minMax"/>
        </c:scaling>
        <c:delete val="0"/>
        <c:axPos val="l"/>
        <c:majorGridlines/>
        <c:numFmt formatCode="#,##0" sourceLinked="0"/>
        <c:majorTickMark val="none"/>
        <c:minorTickMark val="none"/>
        <c:tickLblPos val="nextTo"/>
        <c:spPr>
          <a:ln w="9525">
            <a:noFill/>
          </a:ln>
        </c:spPr>
        <c:crossAx val="147107744"/>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SAI Global </a:t>
            </a:r>
            <a:r>
              <a:rPr lang="en-US" sz="1200" baseline="0"/>
              <a:t> with and without TQ, $ Millions</a:t>
            </a:r>
            <a:endParaRPr lang="en-US" sz="1200"/>
          </a:p>
        </c:rich>
      </c:tx>
      <c:overlay val="0"/>
    </c:title>
    <c:autoTitleDeleted val="0"/>
    <c:plotArea>
      <c:layout/>
      <c:lineChart>
        <c:grouping val="standard"/>
        <c:varyColors val="0"/>
        <c:ser>
          <c:idx val="0"/>
          <c:order val="0"/>
          <c:tx>
            <c:v>SAI Global EBITDA w/o TQ</c:v>
          </c:tx>
          <c:marker>
            <c:symbol val="none"/>
          </c:marker>
          <c:cat>
            <c:numRef>
              <c:f>'14'!$B$19:$K$19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'14'!$B$16:$K$16</c:f>
              <c:numCache>
                <c:formatCode>_(* #,##0.0_);_(* \(#,##0.0\);_(* "-"??_);_(@_)</c:formatCode>
                <c:ptCount val="10"/>
                <c:pt idx="0">
                  <c:v>83.757300000000001</c:v>
                </c:pt>
                <c:pt idx="1">
                  <c:v>101.346333</c:v>
                </c:pt>
                <c:pt idx="2">
                  <c:v>122.62906293</c:v>
                </c:pt>
                <c:pt idx="3">
                  <c:v>148.3811661453</c:v>
                </c:pt>
                <c:pt idx="4">
                  <c:v>179.54121103581301</c:v>
                </c:pt>
                <c:pt idx="5">
                  <c:v>217.24486535333372</c:v>
                </c:pt>
                <c:pt idx="6">
                  <c:v>262.8662870775338</c:v>
                </c:pt>
                <c:pt idx="7">
                  <c:v>318.06820736381587</c:v>
                </c:pt>
                <c:pt idx="8">
                  <c:v>384.86253091021717</c:v>
                </c:pt>
                <c:pt idx="9">
                  <c:v>465.68366240136277</c:v>
                </c:pt>
              </c:numCache>
            </c:numRef>
          </c:val>
          <c:smooth val="0"/>
        </c:ser>
        <c:ser>
          <c:idx val="1"/>
          <c:order val="1"/>
          <c:tx>
            <c:v>SAI Global Revenues w/o TQ</c:v>
          </c:tx>
          <c:marker>
            <c:symbol val="none"/>
          </c:marker>
          <c:val>
            <c:numRef>
              <c:f>'14'!$B$15:$K$15</c:f>
              <c:numCache>
                <c:formatCode>_(* #,##0.0_);_(* \(#,##0.0\);_(* "-"??_);_(@_)</c:formatCode>
                <c:ptCount val="10"/>
                <c:pt idx="0">
                  <c:v>435.8771636363636</c:v>
                </c:pt>
                <c:pt idx="1">
                  <c:v>531.77013963636364</c:v>
                </c:pt>
                <c:pt idx="2">
                  <c:v>648.75957035636361</c:v>
                </c:pt>
                <c:pt idx="3">
                  <c:v>791.48667583476356</c:v>
                </c:pt>
                <c:pt idx="4">
                  <c:v>965.61374451841152</c:v>
                </c:pt>
                <c:pt idx="5">
                  <c:v>1178.048768312462</c:v>
                </c:pt>
                <c:pt idx="6">
                  <c:v>1437.2194973412036</c:v>
                </c:pt>
                <c:pt idx="7">
                  <c:v>1753.4077867562683</c:v>
                </c:pt>
                <c:pt idx="8">
                  <c:v>2139.1574998426472</c:v>
                </c:pt>
                <c:pt idx="9">
                  <c:v>2609.7721498080296</c:v>
                </c:pt>
              </c:numCache>
            </c:numRef>
          </c:val>
          <c:smooth val="0"/>
        </c:ser>
        <c:ser>
          <c:idx val="2"/>
          <c:order val="2"/>
          <c:tx>
            <c:v>SAI Global Revenues with TQ</c:v>
          </c:tx>
          <c:marker>
            <c:symbol val="none"/>
          </c:marker>
          <c:val>
            <c:numRef>
              <c:f>'14'!$B$20:$K$20</c:f>
              <c:numCache>
                <c:formatCode>_(* #,##0.0_);_(* \(#,##0.0\);_(* "-"??_);_(@_)</c:formatCode>
                <c:ptCount val="10"/>
                <c:pt idx="0">
                  <c:v>513.75216363636355</c:v>
                </c:pt>
                <c:pt idx="1">
                  <c:v>646.63513963636365</c:v>
                </c:pt>
                <c:pt idx="2">
                  <c:v>802.09417035636363</c:v>
                </c:pt>
                <c:pt idx="3">
                  <c:v>984.82965983476356</c:v>
                </c:pt>
                <c:pt idx="4">
                  <c:v>1200.5654478784115</c:v>
                </c:pt>
                <c:pt idx="5">
                  <c:v>1452.6294303924619</c:v>
                </c:pt>
                <c:pt idx="6">
                  <c:v>1756.8952822628037</c:v>
                </c:pt>
                <c:pt idx="7">
                  <c:v>2120.8844018899645</c:v>
                </c:pt>
                <c:pt idx="8">
                  <c:v>2557.3029950011651</c:v>
                </c:pt>
                <c:pt idx="9">
                  <c:v>3081.6266577928586</c:v>
                </c:pt>
              </c:numCache>
            </c:numRef>
          </c:val>
          <c:smooth val="0"/>
        </c:ser>
        <c:ser>
          <c:idx val="3"/>
          <c:order val="3"/>
          <c:tx>
            <c:v>SAI Global EBITDA with TQ</c:v>
          </c:tx>
          <c:marker>
            <c:symbol val="none"/>
          </c:marker>
          <c:val>
            <c:numRef>
              <c:f>'14'!$B$21:$K$21</c:f>
              <c:numCache>
                <c:formatCode>_(* #,##0.0_);_(* \(#,##0.0\);_(* "-"??_);_(@_)</c:formatCode>
                <c:ptCount val="10"/>
                <c:pt idx="0">
                  <c:v>95.438549999999992</c:v>
                </c:pt>
                <c:pt idx="1">
                  <c:v>130.06258300000002</c:v>
                </c:pt>
                <c:pt idx="2">
                  <c:v>160.96271293000001</c:v>
                </c:pt>
                <c:pt idx="3">
                  <c:v>196.7169121453</c:v>
                </c:pt>
                <c:pt idx="4">
                  <c:v>250.02672204381298</c:v>
                </c:pt>
                <c:pt idx="5">
                  <c:v>299.61906397733372</c:v>
                </c:pt>
                <c:pt idx="6">
                  <c:v>358.76902255401382</c:v>
                </c:pt>
                <c:pt idx="7">
                  <c:v>446.68502266060943</c:v>
                </c:pt>
                <c:pt idx="8">
                  <c:v>531.21345421569845</c:v>
                </c:pt>
                <c:pt idx="9">
                  <c:v>630.83274019605278</c:v>
                </c:pt>
              </c:numCache>
            </c:numRef>
          </c:val>
          <c:smooth val="0"/>
        </c:ser>
        <c:dLbls>
          <c:showLegendKey val="0"/>
          <c:showVal val="0"/>
          <c:showCatName val="0"/>
          <c:showSerName val="0"/>
          <c:showPercent val="0"/>
          <c:showBubbleSize val="0"/>
        </c:dLbls>
        <c:smooth val="0"/>
        <c:axId val="210447368"/>
        <c:axId val="145441016"/>
      </c:lineChart>
      <c:catAx>
        <c:axId val="210447368"/>
        <c:scaling>
          <c:orientation val="minMax"/>
        </c:scaling>
        <c:delete val="0"/>
        <c:axPos val="b"/>
        <c:numFmt formatCode="General" sourceLinked="1"/>
        <c:majorTickMark val="none"/>
        <c:minorTickMark val="none"/>
        <c:tickLblPos val="nextTo"/>
        <c:crossAx val="145441016"/>
        <c:crosses val="autoZero"/>
        <c:auto val="1"/>
        <c:lblAlgn val="ctr"/>
        <c:lblOffset val="100"/>
        <c:noMultiLvlLbl val="0"/>
      </c:catAx>
      <c:valAx>
        <c:axId val="145441016"/>
        <c:scaling>
          <c:orientation val="minMax"/>
        </c:scaling>
        <c:delete val="0"/>
        <c:axPos val="l"/>
        <c:majorGridlines/>
        <c:numFmt formatCode="#,##0" sourceLinked="0"/>
        <c:majorTickMark val="none"/>
        <c:minorTickMark val="none"/>
        <c:tickLblPos val="nextTo"/>
        <c:spPr>
          <a:ln w="9525">
            <a:noFill/>
          </a:ln>
        </c:spPr>
        <c:crossAx val="210447368"/>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ThoughtQuest</a:t>
            </a:r>
            <a:r>
              <a:rPr lang="en-US" sz="1400" baseline="0"/>
              <a:t> Valuation, $ Millions</a:t>
            </a:r>
            <a:endParaRPr lang="en-US" sz="1400"/>
          </a:p>
        </c:rich>
      </c:tx>
      <c:layout/>
      <c:overlay val="0"/>
    </c:title>
    <c:autoTitleDeleted val="0"/>
    <c:plotArea>
      <c:layout/>
      <c:barChart>
        <c:barDir val="col"/>
        <c:grouping val="clustered"/>
        <c:varyColors val="0"/>
        <c:ser>
          <c:idx val="0"/>
          <c:order val="0"/>
          <c:tx>
            <c:strRef>
              <c:f>'16'!$A$5</c:f>
              <c:strCache>
                <c:ptCount val="1"/>
                <c:pt idx="0">
                  <c:v>10 Years of Cash Flows</c:v>
                </c:pt>
              </c:strCache>
            </c:strRef>
          </c:tx>
          <c:invertIfNegative val="0"/>
          <c:val>
            <c:numRef>
              <c:f>'16'!$B$10</c:f>
              <c:numCache>
                <c:formatCode>_(* #,##0.0_);_(* \(#,##0.0\);_(* "-"??_);_(@_)</c:formatCode>
                <c:ptCount val="1"/>
                <c:pt idx="0">
                  <c:v>429.09278805980034</c:v>
                </c:pt>
              </c:numCache>
            </c:numRef>
          </c:val>
        </c:ser>
        <c:ser>
          <c:idx val="2"/>
          <c:order val="1"/>
          <c:tx>
            <c:strRef>
              <c:f>'16'!$A$13</c:f>
              <c:strCache>
                <c:ptCount val="1"/>
                <c:pt idx="0">
                  <c:v>5 Years of Cash Flows</c:v>
                </c:pt>
              </c:strCache>
            </c:strRef>
          </c:tx>
          <c:invertIfNegative val="0"/>
          <c:val>
            <c:numRef>
              <c:f>'16'!$B$18</c:f>
              <c:numCache>
                <c:formatCode>_(* #,##0.0_);_(* \(#,##0.0\);_(* "-"??_);_(@_)</c:formatCode>
                <c:ptCount val="1"/>
                <c:pt idx="0">
                  <c:v>183.018765576248</c:v>
                </c:pt>
              </c:numCache>
            </c:numRef>
          </c:val>
        </c:ser>
        <c:ser>
          <c:idx val="1"/>
          <c:order val="2"/>
          <c:tx>
            <c:strRef>
              <c:f>'16'!$A$21</c:f>
              <c:strCache>
                <c:ptCount val="1"/>
                <c:pt idx="0">
                  <c:v>5 Years of Cash Flows Beginning in 2016</c:v>
                </c:pt>
              </c:strCache>
            </c:strRef>
          </c:tx>
          <c:invertIfNegative val="0"/>
          <c:val>
            <c:numRef>
              <c:f>'16'!$B$26</c:f>
              <c:numCache>
                <c:formatCode>_(* #,##0.0_);_(* \(#,##0.0\);_(* "-"??_);_(@_)</c:formatCode>
                <c:ptCount val="1"/>
                <c:pt idx="0">
                  <c:v>28.073628749125334</c:v>
                </c:pt>
              </c:numCache>
            </c:numRef>
          </c:val>
        </c:ser>
        <c:dLbls>
          <c:showLegendKey val="0"/>
          <c:showVal val="0"/>
          <c:showCatName val="0"/>
          <c:showSerName val="0"/>
          <c:showPercent val="0"/>
          <c:showBubbleSize val="0"/>
        </c:dLbls>
        <c:gapWidth val="75"/>
        <c:overlap val="-25"/>
        <c:axId val="145441800"/>
        <c:axId val="145442192"/>
      </c:barChart>
      <c:catAx>
        <c:axId val="145441800"/>
        <c:scaling>
          <c:orientation val="minMax"/>
        </c:scaling>
        <c:delete val="1"/>
        <c:axPos val="b"/>
        <c:majorTickMark val="none"/>
        <c:minorTickMark val="none"/>
        <c:tickLblPos val="none"/>
        <c:crossAx val="145442192"/>
        <c:crosses val="autoZero"/>
        <c:auto val="1"/>
        <c:lblAlgn val="ctr"/>
        <c:lblOffset val="100"/>
        <c:noMultiLvlLbl val="0"/>
      </c:catAx>
      <c:valAx>
        <c:axId val="145442192"/>
        <c:scaling>
          <c:orientation val="minMax"/>
        </c:scaling>
        <c:delete val="0"/>
        <c:axPos val="l"/>
        <c:majorGridlines/>
        <c:numFmt formatCode="#,##0" sourceLinked="0"/>
        <c:majorTickMark val="none"/>
        <c:minorTickMark val="none"/>
        <c:tickLblPos val="nextTo"/>
        <c:spPr>
          <a:ln w="9525">
            <a:noFill/>
          </a:ln>
        </c:spPr>
        <c:crossAx val="145441800"/>
        <c:crosses val="autoZero"/>
        <c:crossBetween val="between"/>
      </c:valAx>
    </c:plotArea>
    <c:legend>
      <c:legendPos val="b"/>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SAI Global EPS Dilution from Transaction</c:v>
          </c:tx>
          <c:marker>
            <c:symbol val="none"/>
          </c:marker>
          <c:cat>
            <c:numRef>
              <c:f>'18'!$B$15:$K$15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'18'!$B$76:$K$76</c:f>
              <c:numCache>
                <c:formatCode>0.0_);[Red]\(0.0\)</c:formatCode>
                <c:ptCount val="10"/>
                <c:pt idx="0">
                  <c:v>-27.677179499999998</c:v>
                </c:pt>
                <c:pt idx="1">
                  <c:v>-37.718149070000003</c:v>
                </c:pt>
                <c:pt idx="2">
                  <c:v>-46.679186749700001</c:v>
                </c:pt>
                <c:pt idx="3">
                  <c:v>-12.362393217642101</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smooth val="0"/>
        <c:axId val="145442976"/>
        <c:axId val="145443368"/>
      </c:lineChart>
      <c:catAx>
        <c:axId val="145442976"/>
        <c:scaling>
          <c:orientation val="minMax"/>
        </c:scaling>
        <c:delete val="0"/>
        <c:axPos val="b"/>
        <c:numFmt formatCode="General" sourceLinked="1"/>
        <c:majorTickMark val="out"/>
        <c:minorTickMark val="none"/>
        <c:tickLblPos val="nextTo"/>
        <c:crossAx val="145443368"/>
        <c:crosses val="autoZero"/>
        <c:auto val="1"/>
        <c:lblAlgn val="ctr"/>
        <c:lblOffset val="100"/>
        <c:noMultiLvlLbl val="0"/>
      </c:catAx>
      <c:valAx>
        <c:axId val="145443368"/>
        <c:scaling>
          <c:orientation val="minMax"/>
        </c:scaling>
        <c:delete val="0"/>
        <c:axPos val="l"/>
        <c:majorGridlines/>
        <c:numFmt formatCode="0.0_);[Red]\(0.0\)" sourceLinked="1"/>
        <c:majorTickMark val="out"/>
        <c:minorTickMark val="none"/>
        <c:tickLblPos val="nextTo"/>
        <c:crossAx val="14544297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SAI Global EPS Dilution from Transaction</a:t>
            </a:r>
          </a:p>
        </c:rich>
      </c:tx>
      <c:layout/>
      <c:overlay val="0"/>
    </c:title>
    <c:autoTitleDeleted val="0"/>
    <c:plotArea>
      <c:layout/>
      <c:lineChart>
        <c:grouping val="stacked"/>
        <c:varyColors val="0"/>
        <c:ser>
          <c:idx val="0"/>
          <c:order val="0"/>
          <c:tx>
            <c:v>SAI Global EPS Dilution from Transaction</c:v>
          </c:tx>
          <c:marker>
            <c:symbol val="none"/>
          </c:marker>
          <c:cat>
            <c:numRef>
              <c:f>'18'!$B$15:$K$15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'18'!$B$76:$K$76</c:f>
              <c:numCache>
                <c:formatCode>0.0_);[Red]\(0.0\)</c:formatCode>
                <c:ptCount val="10"/>
                <c:pt idx="0">
                  <c:v>-27.677179499999998</c:v>
                </c:pt>
                <c:pt idx="1">
                  <c:v>-37.718149070000003</c:v>
                </c:pt>
                <c:pt idx="2">
                  <c:v>-46.679186749700001</c:v>
                </c:pt>
                <c:pt idx="3">
                  <c:v>-12.362393217642101</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smooth val="0"/>
        <c:axId val="145444152"/>
        <c:axId val="145444544"/>
      </c:lineChart>
      <c:catAx>
        <c:axId val="145444152"/>
        <c:scaling>
          <c:orientation val="minMax"/>
        </c:scaling>
        <c:delete val="0"/>
        <c:axPos val="b"/>
        <c:numFmt formatCode="General" sourceLinked="1"/>
        <c:majorTickMark val="none"/>
        <c:minorTickMark val="none"/>
        <c:tickLblPos val="nextTo"/>
        <c:crossAx val="145444544"/>
        <c:crosses val="autoZero"/>
        <c:auto val="1"/>
        <c:lblAlgn val="ctr"/>
        <c:lblOffset val="100"/>
        <c:noMultiLvlLbl val="0"/>
      </c:catAx>
      <c:valAx>
        <c:axId val="145444544"/>
        <c:scaling>
          <c:orientation val="minMax"/>
          <c:min val="-50"/>
        </c:scaling>
        <c:delete val="0"/>
        <c:axPos val="l"/>
        <c:majorGridlines/>
        <c:numFmt formatCode="0_);[Red]\(0\)" sourceLinked="0"/>
        <c:majorTickMark val="none"/>
        <c:minorTickMark val="none"/>
        <c:tickLblPos val="nextTo"/>
        <c:spPr>
          <a:ln w="9525">
            <a:noFill/>
          </a:ln>
        </c:spPr>
        <c:crossAx val="145444152"/>
        <c:crosses val="autoZero"/>
        <c:crossBetween val="between"/>
      </c:valAx>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SAI Global </a:t>
            </a:r>
            <a:r>
              <a:rPr lang="en-US" baseline="0"/>
              <a:t> with and w/o TQ, $M</a:t>
            </a:r>
            <a:endParaRPr lang="en-US"/>
          </a:p>
        </c:rich>
      </c:tx>
      <c:overlay val="0"/>
    </c:title>
    <c:autoTitleDeleted val="0"/>
    <c:plotArea>
      <c:layout/>
      <c:lineChart>
        <c:grouping val="standard"/>
        <c:varyColors val="0"/>
        <c:ser>
          <c:idx val="0"/>
          <c:order val="0"/>
          <c:tx>
            <c:v>SAI Global EBITDA w/o TQ</c:v>
          </c:tx>
          <c:marker>
            <c:symbol val="none"/>
          </c:marker>
          <c:cat>
            <c:numRef>
              <c:f>'14'!$B$19:$K$19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'14'!$B$16:$K$16</c:f>
              <c:numCache>
                <c:formatCode>_(* #,##0.0_);_(* \(#,##0.0\);_(* "-"??_);_(@_)</c:formatCode>
                <c:ptCount val="10"/>
                <c:pt idx="0">
                  <c:v>83.757300000000001</c:v>
                </c:pt>
                <c:pt idx="1">
                  <c:v>101.346333</c:v>
                </c:pt>
                <c:pt idx="2">
                  <c:v>122.62906293</c:v>
                </c:pt>
                <c:pt idx="3">
                  <c:v>148.3811661453</c:v>
                </c:pt>
                <c:pt idx="4">
                  <c:v>179.54121103581301</c:v>
                </c:pt>
                <c:pt idx="5">
                  <c:v>217.24486535333372</c:v>
                </c:pt>
                <c:pt idx="6">
                  <c:v>262.8662870775338</c:v>
                </c:pt>
                <c:pt idx="7">
                  <c:v>318.06820736381587</c:v>
                </c:pt>
                <c:pt idx="8">
                  <c:v>384.86253091021717</c:v>
                </c:pt>
                <c:pt idx="9">
                  <c:v>465.68366240136277</c:v>
                </c:pt>
              </c:numCache>
            </c:numRef>
          </c:val>
          <c:smooth val="0"/>
        </c:ser>
        <c:ser>
          <c:idx val="1"/>
          <c:order val="1"/>
          <c:tx>
            <c:v>SAI Global Revenues w/o TQ</c:v>
          </c:tx>
          <c:marker>
            <c:symbol val="none"/>
          </c:marker>
          <c:val>
            <c:numRef>
              <c:f>'14'!$B$15:$K$15</c:f>
              <c:numCache>
                <c:formatCode>_(* #,##0.0_);_(* \(#,##0.0\);_(* "-"??_);_(@_)</c:formatCode>
                <c:ptCount val="10"/>
                <c:pt idx="0">
                  <c:v>435.8771636363636</c:v>
                </c:pt>
                <c:pt idx="1">
                  <c:v>531.77013963636364</c:v>
                </c:pt>
                <c:pt idx="2">
                  <c:v>648.75957035636361</c:v>
                </c:pt>
                <c:pt idx="3">
                  <c:v>791.48667583476356</c:v>
                </c:pt>
                <c:pt idx="4">
                  <c:v>965.61374451841152</c:v>
                </c:pt>
                <c:pt idx="5">
                  <c:v>1178.048768312462</c:v>
                </c:pt>
                <c:pt idx="6">
                  <c:v>1437.2194973412036</c:v>
                </c:pt>
                <c:pt idx="7">
                  <c:v>1753.4077867562683</c:v>
                </c:pt>
                <c:pt idx="8">
                  <c:v>2139.1574998426472</c:v>
                </c:pt>
                <c:pt idx="9">
                  <c:v>2609.7721498080296</c:v>
                </c:pt>
              </c:numCache>
            </c:numRef>
          </c:val>
          <c:smooth val="0"/>
        </c:ser>
        <c:ser>
          <c:idx val="2"/>
          <c:order val="2"/>
          <c:tx>
            <c:v>SAI Global Revenues with TQ</c:v>
          </c:tx>
          <c:marker>
            <c:symbol val="none"/>
          </c:marker>
          <c:val>
            <c:numRef>
              <c:f>'14'!$B$20:$K$20</c:f>
              <c:numCache>
                <c:formatCode>_(* #,##0.0_);_(* \(#,##0.0\);_(* "-"??_);_(@_)</c:formatCode>
                <c:ptCount val="10"/>
                <c:pt idx="0">
                  <c:v>513.75216363636355</c:v>
                </c:pt>
                <c:pt idx="1">
                  <c:v>646.63513963636365</c:v>
                </c:pt>
                <c:pt idx="2">
                  <c:v>802.09417035636363</c:v>
                </c:pt>
                <c:pt idx="3">
                  <c:v>984.82965983476356</c:v>
                </c:pt>
                <c:pt idx="4">
                  <c:v>1200.5654478784115</c:v>
                </c:pt>
                <c:pt idx="5">
                  <c:v>1452.6294303924619</c:v>
                </c:pt>
                <c:pt idx="6">
                  <c:v>1756.8952822628037</c:v>
                </c:pt>
                <c:pt idx="7">
                  <c:v>2120.8844018899645</c:v>
                </c:pt>
                <c:pt idx="8">
                  <c:v>2557.3029950011651</c:v>
                </c:pt>
                <c:pt idx="9">
                  <c:v>3081.6266577928586</c:v>
                </c:pt>
              </c:numCache>
            </c:numRef>
          </c:val>
          <c:smooth val="0"/>
        </c:ser>
        <c:ser>
          <c:idx val="3"/>
          <c:order val="3"/>
          <c:tx>
            <c:v>SAI Global EBITDA with TQ</c:v>
          </c:tx>
          <c:marker>
            <c:symbol val="none"/>
          </c:marker>
          <c:val>
            <c:numRef>
              <c:f>'14'!$B$21:$K$21</c:f>
              <c:numCache>
                <c:formatCode>_(* #,##0.0_);_(* \(#,##0.0\);_(* "-"??_);_(@_)</c:formatCode>
                <c:ptCount val="10"/>
                <c:pt idx="0">
                  <c:v>95.438549999999992</c:v>
                </c:pt>
                <c:pt idx="1">
                  <c:v>130.06258300000002</c:v>
                </c:pt>
                <c:pt idx="2">
                  <c:v>160.96271293000001</c:v>
                </c:pt>
                <c:pt idx="3">
                  <c:v>196.7169121453</c:v>
                </c:pt>
                <c:pt idx="4">
                  <c:v>250.02672204381298</c:v>
                </c:pt>
                <c:pt idx="5">
                  <c:v>299.61906397733372</c:v>
                </c:pt>
                <c:pt idx="6">
                  <c:v>358.76902255401382</c:v>
                </c:pt>
                <c:pt idx="7">
                  <c:v>446.68502266060943</c:v>
                </c:pt>
                <c:pt idx="8">
                  <c:v>531.21345421569845</c:v>
                </c:pt>
                <c:pt idx="9">
                  <c:v>630.83274019605278</c:v>
                </c:pt>
              </c:numCache>
            </c:numRef>
          </c:val>
          <c:smooth val="0"/>
        </c:ser>
        <c:dLbls>
          <c:showLegendKey val="0"/>
          <c:showVal val="0"/>
          <c:showCatName val="0"/>
          <c:showSerName val="0"/>
          <c:showPercent val="0"/>
          <c:showBubbleSize val="0"/>
        </c:dLbls>
        <c:smooth val="0"/>
        <c:axId val="145445328"/>
        <c:axId val="145445720"/>
      </c:lineChart>
      <c:catAx>
        <c:axId val="145445328"/>
        <c:scaling>
          <c:orientation val="minMax"/>
        </c:scaling>
        <c:delete val="0"/>
        <c:axPos val="b"/>
        <c:numFmt formatCode="General" sourceLinked="1"/>
        <c:majorTickMark val="none"/>
        <c:minorTickMark val="none"/>
        <c:tickLblPos val="nextTo"/>
        <c:crossAx val="145445720"/>
        <c:crosses val="autoZero"/>
        <c:auto val="1"/>
        <c:lblAlgn val="ctr"/>
        <c:lblOffset val="100"/>
        <c:noMultiLvlLbl val="0"/>
      </c:catAx>
      <c:valAx>
        <c:axId val="145445720"/>
        <c:scaling>
          <c:orientation val="minMax"/>
        </c:scaling>
        <c:delete val="0"/>
        <c:axPos val="l"/>
        <c:majorGridlines/>
        <c:numFmt formatCode="#,##0" sourceLinked="0"/>
        <c:majorTickMark val="none"/>
        <c:minorTickMark val="none"/>
        <c:tickLblPos val="nextTo"/>
        <c:spPr>
          <a:ln w="9525">
            <a:noFill/>
          </a:ln>
        </c:spPr>
        <c:crossAx val="145445328"/>
        <c:crosses val="autoZero"/>
        <c:crossBetween val="between"/>
      </c:valAx>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Market Penetration</a:t>
            </a:r>
          </a:p>
        </c:rich>
      </c:tx>
      <c:layout/>
      <c:overlay val="0"/>
    </c:title>
    <c:autoTitleDeleted val="0"/>
    <c:plotArea>
      <c:layout/>
      <c:lineChart>
        <c:grouping val="standard"/>
        <c:varyColors val="0"/>
        <c:ser>
          <c:idx val="0"/>
          <c:order val="0"/>
          <c:tx>
            <c:v>In Year</c:v>
          </c:tx>
          <c:marker>
            <c:symbol val="none"/>
          </c:marker>
          <c:cat>
            <c:numRef>
              <c:f>'8'!$B$9:$K$9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'8'!$B$29:$K$29</c:f>
              <c:numCache>
                <c:formatCode>0.0%</c:formatCode>
                <c:ptCount val="10"/>
                <c:pt idx="0">
                  <c:v>2.4437500000000001E-2</c:v>
                </c:pt>
                <c:pt idx="1">
                  <c:v>2.5415E-2</c:v>
                </c:pt>
                <c:pt idx="2">
                  <c:v>2.6431599999999993E-2</c:v>
                </c:pt>
                <c:pt idx="3">
                  <c:v>2.7488864000000002E-2</c:v>
                </c:pt>
                <c:pt idx="4">
                  <c:v>2.8588418560000009E-2</c:v>
                </c:pt>
                <c:pt idx="5">
                  <c:v>2.8588418560000009E-2</c:v>
                </c:pt>
                <c:pt idx="6">
                  <c:v>3.0303723673600003E-2</c:v>
                </c:pt>
                <c:pt idx="7">
                  <c:v>3.2121947094016001E-2</c:v>
                </c:pt>
                <c:pt idx="8">
                  <c:v>3.4049263919656965E-2</c:v>
                </c:pt>
                <c:pt idx="9">
                  <c:v>3.6092219754836376E-2</c:v>
                </c:pt>
              </c:numCache>
            </c:numRef>
          </c:val>
          <c:smooth val="0"/>
        </c:ser>
        <c:ser>
          <c:idx val="1"/>
          <c:order val="1"/>
          <c:tx>
            <c:v>Cumulative</c:v>
          </c:tx>
          <c:marker>
            <c:symbol val="none"/>
          </c:marker>
          <c:cat>
            <c:numRef>
              <c:f>'8'!$B$9:$K$9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'8'!$B$34:$K$34</c:f>
              <c:numCache>
                <c:formatCode>0.0%</c:formatCode>
                <c:ptCount val="10"/>
                <c:pt idx="0">
                  <c:v>2.4437500000000001E-2</c:v>
                </c:pt>
                <c:pt idx="1">
                  <c:v>4.9852500000000001E-2</c:v>
                </c:pt>
                <c:pt idx="2">
                  <c:v>7.6284099999999994E-2</c:v>
                </c:pt>
                <c:pt idx="3">
                  <c:v>0.103772964</c:v>
                </c:pt>
                <c:pt idx="4">
                  <c:v>0.13236138256000002</c:v>
                </c:pt>
                <c:pt idx="5">
                  <c:v>0.16094980112000001</c:v>
                </c:pt>
                <c:pt idx="6">
                  <c:v>0.19125352479360003</c:v>
                </c:pt>
                <c:pt idx="7">
                  <c:v>0.22337547188761603</c:v>
                </c:pt>
                <c:pt idx="8">
                  <c:v>0.25742473580727299</c:v>
                </c:pt>
                <c:pt idx="9">
                  <c:v>0.29351695556210938</c:v>
                </c:pt>
              </c:numCache>
            </c:numRef>
          </c:val>
          <c:smooth val="0"/>
        </c:ser>
        <c:dLbls>
          <c:showLegendKey val="0"/>
          <c:showVal val="0"/>
          <c:showCatName val="0"/>
          <c:showSerName val="0"/>
          <c:showPercent val="0"/>
          <c:showBubbleSize val="0"/>
        </c:dLbls>
        <c:smooth val="0"/>
        <c:axId val="145440624"/>
        <c:axId val="211328744"/>
      </c:lineChart>
      <c:catAx>
        <c:axId val="145440624"/>
        <c:scaling>
          <c:orientation val="minMax"/>
        </c:scaling>
        <c:delete val="0"/>
        <c:axPos val="b"/>
        <c:numFmt formatCode="General" sourceLinked="1"/>
        <c:majorTickMark val="none"/>
        <c:minorTickMark val="none"/>
        <c:tickLblPos val="nextTo"/>
        <c:crossAx val="211328744"/>
        <c:crosses val="autoZero"/>
        <c:auto val="1"/>
        <c:lblAlgn val="ctr"/>
        <c:lblOffset val="100"/>
        <c:noMultiLvlLbl val="0"/>
      </c:catAx>
      <c:valAx>
        <c:axId val="211328744"/>
        <c:scaling>
          <c:orientation val="minMax"/>
        </c:scaling>
        <c:delete val="0"/>
        <c:axPos val="l"/>
        <c:majorGridlines/>
        <c:numFmt formatCode="0%" sourceLinked="0"/>
        <c:majorTickMark val="none"/>
        <c:minorTickMark val="none"/>
        <c:tickLblPos val="nextTo"/>
        <c:spPr>
          <a:ln w="9525">
            <a:noFill/>
          </a:ln>
        </c:spPr>
        <c:crossAx val="145440624"/>
        <c:crosses val="autoZero"/>
        <c:crossBetween val="between"/>
      </c:valAx>
    </c:plotArea>
    <c:legend>
      <c:legendPos val="b"/>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9526</xdr:rowOff>
    </xdr:from>
    <xdr:to>
      <xdr:col>4</xdr:col>
      <xdr:colOff>438150</xdr:colOff>
      <xdr:row>4</xdr:row>
      <xdr:rowOff>21326</xdr:rowOff>
    </xdr:to>
    <xdr:pic>
      <xdr:nvPicPr>
        <xdr:cNvPr id="5121" name="Picture 1" descr="ThoughtQuest"/>
        <xdr:cNvPicPr>
          <a:picLocks noChangeAspect="1" noChangeArrowheads="1"/>
        </xdr:cNvPicPr>
      </xdr:nvPicPr>
      <xdr:blipFill>
        <a:blip xmlns:r="http://schemas.openxmlformats.org/officeDocument/2006/relationships" r:embed="rId1" cstate="print"/>
        <a:srcRect/>
        <a:stretch>
          <a:fillRect/>
        </a:stretch>
      </xdr:blipFill>
      <xdr:spPr bwMode="auto">
        <a:xfrm>
          <a:off x="9525" y="9526"/>
          <a:ext cx="2867025" cy="8119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21166</xdr:colOff>
      <xdr:row>14</xdr:row>
      <xdr:rowOff>10582</xdr:rowOff>
    </xdr:from>
    <xdr:to>
      <xdr:col>2</xdr:col>
      <xdr:colOff>476251</xdr:colOff>
      <xdr:row>26</xdr:row>
      <xdr:rowOff>169333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42333</xdr:colOff>
      <xdr:row>30</xdr:row>
      <xdr:rowOff>0</xdr:rowOff>
    </xdr:from>
    <xdr:to>
      <xdr:col>3</xdr:col>
      <xdr:colOff>10584</xdr:colOff>
      <xdr:row>44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719668</xdr:colOff>
      <xdr:row>2</xdr:row>
      <xdr:rowOff>0</xdr:rowOff>
    </xdr:from>
    <xdr:to>
      <xdr:col>10</xdr:col>
      <xdr:colOff>624418</xdr:colOff>
      <xdr:row>7</xdr:row>
      <xdr:rowOff>0</xdr:rowOff>
    </xdr:to>
    <xdr:sp macro="" textlink="">
      <xdr:nvSpPr>
        <xdr:cNvPr id="3" name="TextBox 2"/>
        <xdr:cNvSpPr txBox="1"/>
      </xdr:nvSpPr>
      <xdr:spPr>
        <a:xfrm>
          <a:off x="7397751" y="381000"/>
          <a:ext cx="2635250" cy="973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we assumed  slightly lower freestanding  growth</a:t>
          </a:r>
          <a:r>
            <a:rPr lang="en-US" sz="1100" baseline="0"/>
            <a:t> rates for SAI-Global in the financial model.  This change modestly tempers the financial impact of adding TQ IP to the acquiring company.</a:t>
          </a: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42332</xdr:colOff>
      <xdr:row>4</xdr:row>
      <xdr:rowOff>31750</xdr:rowOff>
    </xdr:from>
    <xdr:to>
      <xdr:col>17</xdr:col>
      <xdr:colOff>52917</xdr:colOff>
      <xdr:row>30</xdr:row>
      <xdr:rowOff>127000</xdr:rowOff>
    </xdr:to>
    <xdr:sp macro="" textlink="">
      <xdr:nvSpPr>
        <xdr:cNvPr id="2" name="TextBox 1"/>
        <xdr:cNvSpPr txBox="1"/>
      </xdr:nvSpPr>
      <xdr:spPr>
        <a:xfrm>
          <a:off x="10276415" y="793750"/>
          <a:ext cx="3079752" cy="504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a:t>
          </a:r>
        </a:p>
        <a:p>
          <a:endParaRPr lang="en-US" sz="1100"/>
        </a:p>
        <a:p>
          <a:r>
            <a:rPr lang="en-US" sz="1100"/>
            <a:t>Generally</a:t>
          </a:r>
          <a:r>
            <a:rPr lang="en-US" sz="1100" baseline="0"/>
            <a:t> speaking, the forecasting of future cash flows out to ten years, and the validity of terminal values based on growth rates after those ten years, is suspect in corporate finance.  The longer the cash flow projections,  the greater the uncertainty of those cash flows, given changes that can take place in competition, pricing, target markets, etc.   Your choice on this subject significantly impacts valuation; note that the value of TQ in the five- year methodology (in the given version of this model) is only 43% that of the 10-year model.  This is a central question for you to answer.</a:t>
          </a:r>
        </a:p>
        <a:p>
          <a:endParaRPr lang="en-US" sz="1100" baseline="0"/>
        </a:p>
        <a:p>
          <a:r>
            <a:rPr lang="en-US" sz="1100" baseline="0"/>
            <a:t>My concern is that any outside party will look at the results of this model and see the results (at least as demonstrated with these input assumptions) as too good to be true, at which point ThoughtQuest's credibility will be compromised in the process.  This is a concern that I've voiced over the past few months.  Perhaps some changes to the input assumptions in this model will temper this opinion.</a:t>
          </a:r>
        </a:p>
        <a:p>
          <a:endParaRPr lang="en-US" sz="1100" baseline="0"/>
        </a:p>
        <a:p>
          <a:r>
            <a:rPr lang="en-US" sz="1100"/>
            <a:t>Scenario</a:t>
          </a:r>
          <a:r>
            <a:rPr lang="en-US" sz="1100" baseline="0"/>
            <a:t> 3 was requested but is not tenable.  Companies would value something today that they would buy in 2016.</a:t>
          </a:r>
          <a:endParaRPr lang="en-US" sz="1100"/>
        </a:p>
      </xdr:txBody>
    </xdr:sp>
    <xdr:clientData/>
  </xdr:twoCellAnchor>
  <xdr:twoCellAnchor>
    <xdr:from>
      <xdr:col>5</xdr:col>
      <xdr:colOff>52917</xdr:colOff>
      <xdr:row>25</xdr:row>
      <xdr:rowOff>10583</xdr:rowOff>
    </xdr:from>
    <xdr:to>
      <xdr:col>10</xdr:col>
      <xdr:colOff>201083</xdr:colOff>
      <xdr:row>33</xdr:row>
      <xdr:rowOff>0</xdr:rowOff>
    </xdr:to>
    <xdr:sp macro="" textlink="">
      <xdr:nvSpPr>
        <xdr:cNvPr id="3" name="TextBox 2"/>
        <xdr:cNvSpPr txBox="1"/>
      </xdr:nvSpPr>
      <xdr:spPr>
        <a:xfrm>
          <a:off x="5990167" y="4773083"/>
          <a:ext cx="3217333" cy="151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a:t>
          </a:r>
          <a:r>
            <a:rPr lang="en-US" sz="1100" baseline="0"/>
            <a:t>y note: </a:t>
          </a:r>
          <a:r>
            <a:rPr lang="en-US" sz="1100"/>
            <a:t>It is stretch</a:t>
          </a:r>
          <a:r>
            <a:rPr lang="en-US" sz="1100" baseline="0"/>
            <a:t> at best to suggest that SAI-Global can digest  this deal singlehandedly, at least under the first two valuation methodologies.  At best it would have to return to the public markets to raise additional equity, and perhaps some debt as well, as it did in its acquisition of Integrity Interactive (see Tab 19).  Even that transaction was small in comparison to the numbers presented here.</a:t>
          </a:r>
          <a:endParaRPr lang="en-US" sz="1100"/>
        </a:p>
      </xdr:txBody>
    </xdr:sp>
    <xdr:clientData/>
  </xdr:twoCellAnchor>
  <xdr:twoCellAnchor>
    <xdr:from>
      <xdr:col>0</xdr:col>
      <xdr:colOff>42333</xdr:colOff>
      <xdr:row>32</xdr:row>
      <xdr:rowOff>169334</xdr:rowOff>
    </xdr:from>
    <xdr:to>
      <xdr:col>3</xdr:col>
      <xdr:colOff>0</xdr:colOff>
      <xdr:row>49</xdr:row>
      <xdr:rowOff>52917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455083</xdr:colOff>
      <xdr:row>49</xdr:row>
      <xdr:rowOff>158750</xdr:rowOff>
    </xdr:from>
    <xdr:to>
      <xdr:col>20</xdr:col>
      <xdr:colOff>116416</xdr:colOff>
      <xdr:row>64</xdr:row>
      <xdr:rowOff>42333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74085</xdr:colOff>
      <xdr:row>78</xdr:row>
      <xdr:rowOff>21167</xdr:rowOff>
    </xdr:from>
    <xdr:to>
      <xdr:col>2</xdr:col>
      <xdr:colOff>539751</xdr:colOff>
      <xdr:row>90</xdr:row>
      <xdr:rowOff>179916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148167</xdr:colOff>
      <xdr:row>3</xdr:row>
      <xdr:rowOff>179917</xdr:rowOff>
    </xdr:from>
    <xdr:to>
      <xdr:col>4</xdr:col>
      <xdr:colOff>455083</xdr:colOff>
      <xdr:row>14</xdr:row>
      <xdr:rowOff>52917</xdr:rowOff>
    </xdr:to>
    <xdr:sp macro="" textlink="">
      <xdr:nvSpPr>
        <xdr:cNvPr id="2" name="TextBox 1"/>
        <xdr:cNvSpPr txBox="1"/>
      </xdr:nvSpPr>
      <xdr:spPr>
        <a:xfrm>
          <a:off x="4593167" y="751417"/>
          <a:ext cx="1979083"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SAI-Global</a:t>
          </a:r>
          <a:r>
            <a:rPr lang="en-US" sz="1100" baseline="0"/>
            <a:t> as shown no interest in funding acquisitions incrementally without outside funding.  Targets were either too small to require this funding, or the company raised capital by issuing additional shares instead of staggering payments to the target over multiple years. </a:t>
          </a: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21167</xdr:colOff>
      <xdr:row>53</xdr:row>
      <xdr:rowOff>190499</xdr:rowOff>
    </xdr:from>
    <xdr:to>
      <xdr:col>7</xdr:col>
      <xdr:colOff>296334</xdr:colOff>
      <xdr:row>68</xdr:row>
      <xdr:rowOff>74082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21167</xdr:colOff>
      <xdr:row>3</xdr:row>
      <xdr:rowOff>84667</xdr:rowOff>
    </xdr:from>
    <xdr:to>
      <xdr:col>6</xdr:col>
      <xdr:colOff>592667</xdr:colOff>
      <xdr:row>15</xdr:row>
      <xdr:rowOff>10583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35720</xdr:colOff>
      <xdr:row>15</xdr:row>
      <xdr:rowOff>124354</xdr:rowOff>
    </xdr:from>
    <xdr:to>
      <xdr:col>7</xdr:col>
      <xdr:colOff>10584</xdr:colOff>
      <xdr:row>31</xdr:row>
      <xdr:rowOff>50272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107156</xdr:colOff>
      <xdr:row>3</xdr:row>
      <xdr:rowOff>71437</xdr:rowOff>
    </xdr:from>
    <xdr:to>
      <xdr:col>14</xdr:col>
      <xdr:colOff>130968</xdr:colOff>
      <xdr:row>15</xdr:row>
      <xdr:rowOff>11906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107157</xdr:colOff>
      <xdr:row>15</xdr:row>
      <xdr:rowOff>95250</xdr:rowOff>
    </xdr:from>
    <xdr:to>
      <xdr:col>14</xdr:col>
      <xdr:colOff>142875</xdr:colOff>
      <xdr:row>31</xdr:row>
      <xdr:rowOff>11906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273842</xdr:colOff>
      <xdr:row>3</xdr:row>
      <xdr:rowOff>95252</xdr:rowOff>
    </xdr:from>
    <xdr:to>
      <xdr:col>21</xdr:col>
      <xdr:colOff>452437</xdr:colOff>
      <xdr:row>15</xdr:row>
      <xdr:rowOff>11906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273843</xdr:colOff>
      <xdr:row>15</xdr:row>
      <xdr:rowOff>130969</xdr:rowOff>
    </xdr:from>
    <xdr:to>
      <xdr:col>21</xdr:col>
      <xdr:colOff>464344</xdr:colOff>
      <xdr:row>31</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116680</xdr:rowOff>
    </xdr:from>
    <xdr:to>
      <xdr:col>7</xdr:col>
      <xdr:colOff>178594</xdr:colOff>
      <xdr:row>28</xdr:row>
      <xdr:rowOff>154781</xdr:rowOff>
    </xdr:to>
    <xdr:sp macro="" textlink="">
      <xdr:nvSpPr>
        <xdr:cNvPr id="2" name="TextBox 1"/>
        <xdr:cNvSpPr txBox="1"/>
      </xdr:nvSpPr>
      <xdr:spPr>
        <a:xfrm>
          <a:off x="104775" y="116680"/>
          <a:ext cx="4324350" cy="5372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t>PURPOSE</a:t>
          </a:r>
        </a:p>
        <a:p>
          <a:endParaRPr lang="en-US" sz="1600"/>
        </a:p>
        <a:p>
          <a:r>
            <a:rPr lang="en-US" sz="1400"/>
            <a:t>This</a:t>
          </a:r>
          <a:r>
            <a:rPr lang="en-US" sz="1400" baseline="0"/>
            <a:t> is a multifaceted, variable financial model prepared by ThoughtQuest to guide financial discussions with SAIC in 2011.</a:t>
          </a:r>
        </a:p>
        <a:p>
          <a:endParaRPr lang="en-US" sz="1400" baseline="0"/>
        </a:p>
        <a:p>
          <a:r>
            <a:rPr lang="en-US" sz="1400" baseline="0"/>
            <a:t>Financial projections and business valuations are a matter of both science and art.  This model allows both to come together around  the definition of certain assumptions for forecasting the value of FPTQ.  It concludes that ThoughtQuest's IP can generate significant value once embedded in SAIC's operations.</a:t>
          </a:r>
        </a:p>
        <a:p>
          <a:endParaRPr lang="en-US" sz="1400" baseline="0"/>
        </a:p>
        <a:p>
          <a:r>
            <a:rPr lang="en-US" sz="1400" baseline="0"/>
            <a:t>It is our hope that a discussion of the assumptions highlighted in this model can help both parties begin more earnest discussions about SAIC's acquisition of ThoughtQuest's intellectual property.  </a:t>
          </a:r>
        </a:p>
        <a:p>
          <a:endParaRPr lang="en-US" sz="1400" baseline="0"/>
        </a:p>
        <a:p>
          <a:r>
            <a:rPr lang="en-US" sz="1400" baseline="0"/>
            <a:t>A common definition of value should proceed from an agreement  on the assumptions in this financial model.  </a:t>
          </a:r>
          <a:endParaRPr lang="en-US" sz="1400"/>
        </a:p>
      </xdr:txBody>
    </xdr:sp>
    <xdr:clientData/>
  </xdr:twoCellAnchor>
  <xdr:twoCellAnchor>
    <xdr:from>
      <xdr:col>17</xdr:col>
      <xdr:colOff>321468</xdr:colOff>
      <xdr:row>0</xdr:row>
      <xdr:rowOff>130968</xdr:rowOff>
    </xdr:from>
    <xdr:to>
      <xdr:col>24</xdr:col>
      <xdr:colOff>238125</xdr:colOff>
      <xdr:row>29</xdr:row>
      <xdr:rowOff>0</xdr:rowOff>
    </xdr:to>
    <xdr:sp macro="" textlink="">
      <xdr:nvSpPr>
        <xdr:cNvPr id="3" name="TextBox 2"/>
        <xdr:cNvSpPr txBox="1"/>
      </xdr:nvSpPr>
      <xdr:spPr>
        <a:xfrm>
          <a:off x="10644187" y="130968"/>
          <a:ext cx="3821907" cy="5393532"/>
        </a:xfrm>
        <a:prstGeom prst="rect">
          <a:avLst/>
        </a:prstGeom>
        <a:solidFill>
          <a:sysClr val="window" lastClr="FFFFFF"/>
        </a:solidFill>
        <a:ln w="9525" cmpd="sng">
          <a:solidFill>
            <a:schemeClr val="accent3">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cap="all" baseline="0"/>
            <a:t>ThoughtQuest LLC Notes</a:t>
          </a:r>
          <a:endParaRPr lang="en-US" sz="1600" b="1" cap="all"/>
        </a:p>
        <a:p>
          <a:endParaRPr lang="en-US" sz="1400">
            <a:solidFill>
              <a:sysClr val="windowText" lastClr="000000"/>
            </a:solidFill>
          </a:endParaRPr>
        </a:p>
        <a:p>
          <a:r>
            <a:rPr lang="en-US" sz="1400">
              <a:solidFill>
                <a:sysClr val="windowText" lastClr="000000"/>
              </a:solidFill>
            </a:rPr>
            <a:t>All of the </a:t>
          </a:r>
          <a:r>
            <a:rPr lang="en-US" sz="1400" b="1" baseline="0">
              <a:solidFill>
                <a:srgbClr val="7030A0"/>
              </a:solidFill>
              <a:latin typeface="+mn-lt"/>
              <a:ea typeface="+mn-ea"/>
              <a:cs typeface="+mn-cs"/>
            </a:rPr>
            <a:t>MEDIUM </a:t>
          </a:r>
          <a:r>
            <a:rPr lang="en-US" sz="1400" b="0" baseline="0">
              <a:solidFill>
                <a:sysClr val="windowText" lastClr="000000"/>
              </a:solidFill>
              <a:latin typeface="+mn-lt"/>
              <a:ea typeface="+mn-ea"/>
              <a:cs typeface="+mn-cs"/>
            </a:rPr>
            <a:t>assumptions in the initial draft of this model are based on data that TQ has provided, or based on data that was included in prior versions of the model and other TQ documentation. </a:t>
          </a:r>
          <a:endParaRPr lang="en-US" sz="1400" b="1" baseline="0">
            <a:solidFill>
              <a:srgbClr val="7030A0"/>
            </a:solidFill>
            <a:latin typeface="+mn-lt"/>
            <a:ea typeface="+mn-ea"/>
            <a:cs typeface="+mn-cs"/>
          </a:endParaRPr>
        </a:p>
        <a:p>
          <a:endParaRPr lang="en-US" sz="1400">
            <a:solidFill>
              <a:sysClr val="windowText" lastClr="000000"/>
            </a:solidFill>
          </a:endParaRPr>
        </a:p>
        <a:p>
          <a:r>
            <a:rPr lang="en-US" sz="1400">
              <a:solidFill>
                <a:sysClr val="windowText" lastClr="000000"/>
              </a:solidFill>
            </a:rPr>
            <a:t>With a few exceptions,</a:t>
          </a:r>
          <a:r>
            <a:rPr lang="en-US" sz="1400" baseline="0">
              <a:solidFill>
                <a:sysClr val="windowText" lastClr="000000"/>
              </a:solidFill>
            </a:rPr>
            <a:t> t</a:t>
          </a:r>
          <a:r>
            <a:rPr lang="en-US" sz="1400">
              <a:solidFill>
                <a:sysClr val="windowText" lastClr="000000"/>
              </a:solidFill>
            </a:rPr>
            <a:t>he</a:t>
          </a:r>
          <a:r>
            <a:rPr lang="en-US" sz="1400" baseline="0">
              <a:solidFill>
                <a:sysClr val="windowText" lastClr="000000"/>
              </a:solidFill>
            </a:rPr>
            <a:t> data for the </a:t>
          </a:r>
          <a:r>
            <a:rPr lang="en-US" sz="1400" b="1" baseline="0">
              <a:solidFill>
                <a:srgbClr val="00B050"/>
              </a:solidFill>
            </a:rPr>
            <a:t>HIGH </a:t>
          </a:r>
          <a:r>
            <a:rPr lang="en-US" sz="1400" b="0" baseline="0">
              <a:solidFill>
                <a:sysClr val="windowText" lastClr="000000"/>
              </a:solidFill>
              <a:latin typeface="+mn-lt"/>
              <a:ea typeface="+mn-ea"/>
              <a:cs typeface="+mn-cs"/>
            </a:rPr>
            <a:t>and </a:t>
          </a:r>
          <a:r>
            <a:rPr lang="en-US" sz="1400" b="1" baseline="0">
              <a:solidFill>
                <a:schemeClr val="accent6">
                  <a:lumMod val="75000"/>
                </a:schemeClr>
              </a:solidFill>
            </a:rPr>
            <a:t>LOW </a:t>
          </a:r>
          <a:r>
            <a:rPr lang="en-US" sz="1400">
              <a:solidFill>
                <a:schemeClr val="dk1"/>
              </a:solidFill>
              <a:latin typeface="+mn-lt"/>
              <a:ea typeface="+mn-ea"/>
              <a:cs typeface="+mn-cs"/>
            </a:rPr>
            <a:t>assumptions</a:t>
          </a:r>
          <a:r>
            <a:rPr lang="en-US" sz="1400" baseline="0">
              <a:solidFill>
                <a:schemeClr val="dk1"/>
              </a:solidFill>
              <a:latin typeface="+mn-lt"/>
              <a:ea typeface="+mn-ea"/>
              <a:cs typeface="+mn-cs"/>
            </a:rPr>
            <a:t> on each page are defined as X% higher or Y% lower the </a:t>
          </a:r>
          <a:r>
            <a:rPr lang="en-US" sz="1400" b="1" baseline="0">
              <a:solidFill>
                <a:srgbClr val="7030A0"/>
              </a:solidFill>
              <a:latin typeface="+mn-lt"/>
              <a:ea typeface="+mn-ea"/>
              <a:cs typeface="+mn-cs"/>
            </a:rPr>
            <a:t>MEDIUM </a:t>
          </a:r>
          <a:r>
            <a:rPr lang="en-US" sz="1400" baseline="0">
              <a:solidFill>
                <a:sysClr val="windowText" lastClr="000000"/>
              </a:solidFill>
            </a:rPr>
            <a:t>figure.  These figures have no factual accuracy and should be replaced by the parties as they develop the value for FPTQ.  Otherwise, the "</a:t>
          </a:r>
          <a:r>
            <a:rPr lang="en-US" sz="1400" b="0" baseline="0">
              <a:solidFill>
                <a:sysClr val="windowText" lastClr="000000"/>
              </a:solidFill>
            </a:rPr>
            <a:t>high, medium, and low" descriptions will not be meaningful.</a:t>
          </a:r>
          <a:endParaRPr lang="en-US" sz="1400" b="1" baseline="0">
            <a:solidFill>
              <a:sysClr val="windowText" lastClr="000000"/>
            </a:solidFill>
          </a:endParaRPr>
        </a:p>
        <a:p>
          <a:endParaRPr lang="en-US" sz="1400" b="0" baseline="0">
            <a:solidFill>
              <a:sysClr val="windowText" lastClr="000000"/>
            </a:solidFill>
          </a:endParaRPr>
        </a:p>
        <a:p>
          <a:r>
            <a:rPr lang="en-US" sz="1400" b="0" baseline="0">
              <a:solidFill>
                <a:sysClr val="windowText" lastClr="000000"/>
              </a:solidFill>
            </a:rPr>
            <a:t>In appropriate locations we provide observations about the output of this model, at least as generated by the current input assumptions.</a:t>
          </a:r>
        </a:p>
      </xdr:txBody>
    </xdr:sp>
    <xdr:clientData/>
  </xdr:twoCellAnchor>
  <xdr:twoCellAnchor>
    <xdr:from>
      <xdr:col>7</xdr:col>
      <xdr:colOff>333376</xdr:colOff>
      <xdr:row>0</xdr:row>
      <xdr:rowOff>137521</xdr:rowOff>
    </xdr:from>
    <xdr:to>
      <xdr:col>17</xdr:col>
      <xdr:colOff>119062</xdr:colOff>
      <xdr:row>28</xdr:row>
      <xdr:rowOff>166688</xdr:rowOff>
    </xdr:to>
    <xdr:sp macro="" textlink="">
      <xdr:nvSpPr>
        <xdr:cNvPr id="5" name="TextBox 4"/>
        <xdr:cNvSpPr txBox="1"/>
      </xdr:nvSpPr>
      <xdr:spPr>
        <a:xfrm>
          <a:off x="4583907" y="137521"/>
          <a:ext cx="5857874" cy="5363167"/>
        </a:xfrm>
        <a:prstGeom prst="rect">
          <a:avLst/>
        </a:prstGeom>
        <a:solidFill>
          <a:sysClr val="window" lastClr="FFFFFF"/>
        </a:solidFill>
        <a:ln w="9525" cmpd="sng">
          <a:solidFill>
            <a:schemeClr val="accent3">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t>ASSUMPTIONS</a:t>
          </a:r>
        </a:p>
        <a:p>
          <a:endParaRPr lang="en-US" sz="1600"/>
        </a:p>
        <a:p>
          <a:r>
            <a:rPr lang="en-US" sz="1400" baseline="0">
              <a:solidFill>
                <a:schemeClr val="dk1"/>
              </a:solidFill>
            </a:rPr>
            <a:t>The results of this model are based entirely on its input assumptions.  Throughout the model, these assumptions are described as a range of inputs labeled </a:t>
          </a:r>
          <a:r>
            <a:rPr lang="en-US" sz="1400" b="1" baseline="0">
              <a:solidFill>
                <a:srgbClr val="00B050"/>
              </a:solidFill>
            </a:rPr>
            <a:t>HIGH</a:t>
          </a:r>
          <a:r>
            <a:rPr lang="en-US" sz="1400" baseline="0">
              <a:solidFill>
                <a:schemeClr val="dk1"/>
              </a:solidFill>
            </a:rPr>
            <a:t>, </a:t>
          </a:r>
          <a:r>
            <a:rPr lang="en-US" sz="1400" b="1" baseline="0">
              <a:solidFill>
                <a:srgbClr val="7030A0"/>
              </a:solidFill>
            </a:rPr>
            <a:t>MEDIUM</a:t>
          </a:r>
          <a:r>
            <a:rPr lang="en-US" sz="1400" baseline="0">
              <a:solidFill>
                <a:schemeClr val="dk1"/>
              </a:solidFill>
            </a:rPr>
            <a:t>, and </a:t>
          </a:r>
          <a:r>
            <a:rPr lang="en-US" sz="1400" b="1" baseline="0">
              <a:solidFill>
                <a:schemeClr val="accent6">
                  <a:lumMod val="75000"/>
                </a:schemeClr>
              </a:solidFill>
            </a:rPr>
            <a:t>LOW</a:t>
          </a:r>
          <a:r>
            <a:rPr lang="en-US" sz="1400" baseline="0">
              <a:solidFill>
                <a:schemeClr val="dk1"/>
              </a:solidFill>
            </a:rPr>
            <a:t>. </a:t>
          </a:r>
        </a:p>
        <a:p>
          <a:endParaRPr lang="en-US" sz="1400" baseline="0">
            <a:solidFill>
              <a:schemeClr val="dk1"/>
            </a:solidFill>
          </a:endParaRPr>
        </a:p>
        <a:p>
          <a:r>
            <a:rPr lang="en-US" sz="1400" baseline="0">
              <a:solidFill>
                <a:schemeClr val="dk1"/>
              </a:solidFill>
            </a:rPr>
            <a:t>These three  figures represent a range of values that ThoughtQuest considers to be reasonable for each assumption.  For example, profit margins could read (</a:t>
          </a:r>
          <a:r>
            <a:rPr lang="en-US" sz="1400" b="1" baseline="0">
              <a:solidFill>
                <a:srgbClr val="00B050"/>
              </a:solidFill>
              <a:latin typeface="+mn-lt"/>
              <a:ea typeface="+mn-ea"/>
              <a:cs typeface="+mn-cs"/>
            </a:rPr>
            <a:t>High</a:t>
          </a:r>
          <a:r>
            <a:rPr lang="en-US" sz="1400" baseline="0">
              <a:solidFill>
                <a:schemeClr val="dk1"/>
              </a:solidFill>
            </a:rPr>
            <a:t> =45%), (</a:t>
          </a:r>
          <a:r>
            <a:rPr lang="en-US" sz="1400" b="1" baseline="0">
              <a:solidFill>
                <a:srgbClr val="7030A0"/>
              </a:solidFill>
              <a:latin typeface="+mn-lt"/>
              <a:ea typeface="+mn-ea"/>
              <a:cs typeface="+mn-cs"/>
            </a:rPr>
            <a:t>Medium</a:t>
          </a:r>
          <a:r>
            <a:rPr lang="en-US" sz="1400" baseline="0">
              <a:solidFill>
                <a:schemeClr val="dk1"/>
              </a:solidFill>
            </a:rPr>
            <a:t>=35%), (</a:t>
          </a:r>
          <a:r>
            <a:rPr lang="en-US" sz="1400" b="1" baseline="0">
              <a:solidFill>
                <a:schemeClr val="accent6">
                  <a:lumMod val="75000"/>
                </a:schemeClr>
              </a:solidFill>
              <a:latin typeface="+mn-lt"/>
              <a:ea typeface="+mn-ea"/>
              <a:cs typeface="+mn-cs"/>
            </a:rPr>
            <a:t>Low</a:t>
          </a:r>
          <a:r>
            <a:rPr lang="en-US" sz="1400" baseline="0">
              <a:solidFill>
                <a:schemeClr val="dk1"/>
              </a:solidFill>
            </a:rPr>
            <a:t>=25%.)   Forecasts are </a:t>
          </a:r>
          <a:r>
            <a:rPr lang="en-US" sz="1400" u="sng" baseline="0">
              <a:solidFill>
                <a:schemeClr val="dk1"/>
              </a:solidFill>
            </a:rPr>
            <a:t>not</a:t>
          </a:r>
          <a:r>
            <a:rPr lang="en-US" sz="1400" u="none" baseline="0">
              <a:solidFill>
                <a:schemeClr val="dk1"/>
              </a:solidFill>
            </a:rPr>
            <a:t> </a:t>
          </a:r>
          <a:r>
            <a:rPr lang="en-US" sz="1400" baseline="0">
              <a:solidFill>
                <a:schemeClr val="dk1"/>
              </a:solidFill>
            </a:rPr>
            <a:t>based on the contents of these cells.  </a:t>
          </a:r>
          <a:r>
            <a:rPr lang="en-US" sz="1400" b="1" baseline="0">
              <a:solidFill>
                <a:sysClr val="windowText" lastClr="000000"/>
              </a:solidFill>
            </a:rPr>
            <a:t>Always use the </a:t>
          </a:r>
          <a:r>
            <a:rPr lang="en-US" sz="1400" b="1" baseline="0">
              <a:solidFill>
                <a:schemeClr val="accent3">
                  <a:lumMod val="60000"/>
                  <a:lumOff val="40000"/>
                </a:schemeClr>
              </a:solidFill>
            </a:rPr>
            <a:t>GREEN SHADED CELL </a:t>
          </a:r>
          <a:r>
            <a:rPr lang="en-US" sz="1400" b="1" baseline="0">
              <a:solidFill>
                <a:sysClr val="windowText" lastClr="000000"/>
              </a:solidFill>
            </a:rPr>
            <a:t>to enter the assumption of your choice</a:t>
          </a:r>
          <a:r>
            <a:rPr lang="en-US" sz="1400" b="0" baseline="0">
              <a:solidFill>
                <a:sysClr val="windowText" lastClr="000000"/>
              </a:solidFill>
            </a:rPr>
            <a:t>.  All of the "</a:t>
          </a:r>
          <a:r>
            <a:rPr lang="en-US" sz="1400" b="1" baseline="0">
              <a:solidFill>
                <a:schemeClr val="accent3">
                  <a:lumMod val="60000"/>
                  <a:lumOff val="40000"/>
                </a:schemeClr>
              </a:solidFill>
              <a:latin typeface="+mn-lt"/>
              <a:ea typeface="+mn-ea"/>
              <a:cs typeface="+mn-cs"/>
            </a:rPr>
            <a:t>CHOSEN</a:t>
          </a:r>
          <a:r>
            <a:rPr lang="en-US" sz="1400" b="0" baseline="0">
              <a:solidFill>
                <a:sysClr val="windowText" lastClr="000000"/>
              </a:solidFill>
            </a:rPr>
            <a:t>" assumptions selected throughout the model link together to determine its outputs - future financial performance, valuation, etc.  </a:t>
          </a:r>
          <a:r>
            <a:rPr lang="en-US" sz="1400" b="0" baseline="0">
              <a:solidFill>
                <a:schemeClr val="dk1"/>
              </a:solidFill>
              <a:latin typeface="+mn-lt"/>
              <a:ea typeface="+mn-ea"/>
              <a:cs typeface="+mn-cs"/>
            </a:rPr>
            <a:t>Other </a:t>
          </a:r>
          <a:r>
            <a:rPr lang="en-US" sz="1400" b="0" i="0" baseline="0">
              <a:solidFill>
                <a:sysClr val="windowText" lastClr="000000"/>
              </a:solidFill>
              <a:latin typeface="+mn-lt"/>
              <a:ea typeface="+mn-ea"/>
              <a:cs typeface="+mn-cs"/>
            </a:rPr>
            <a:t>qualitative assumptions </a:t>
          </a:r>
          <a:r>
            <a:rPr lang="en-US" sz="1400" b="0" baseline="0">
              <a:solidFill>
                <a:schemeClr val="dk1"/>
              </a:solidFill>
              <a:latin typeface="+mn-lt"/>
              <a:ea typeface="+mn-ea"/>
              <a:cs typeface="+mn-cs"/>
            </a:rPr>
            <a:t>used to build out this model are also listed on each page.</a:t>
          </a:r>
          <a:endParaRPr lang="en-US" sz="1400"/>
        </a:p>
        <a:p>
          <a:pPr marL="0" marR="0" indent="0" defTabSz="914400" eaLnBrk="1" fontAlgn="auto" latinLnBrk="0" hangingPunct="1">
            <a:lnSpc>
              <a:spcPct val="100000"/>
            </a:lnSpc>
            <a:spcBef>
              <a:spcPts val="0"/>
            </a:spcBef>
            <a:spcAft>
              <a:spcPts val="0"/>
            </a:spcAft>
            <a:buClrTx/>
            <a:buSzTx/>
            <a:buFontTx/>
            <a:buNone/>
            <a:tabLst/>
            <a:defRPr/>
          </a:pPr>
          <a:endParaRPr lang="en-US" sz="14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0" baseline="0">
              <a:solidFill>
                <a:schemeClr val="dk1"/>
              </a:solidFill>
              <a:latin typeface="+mn-lt"/>
              <a:ea typeface="+mn-ea"/>
              <a:cs typeface="+mn-cs"/>
            </a:rPr>
            <a:t>Cells that are not shaded are either referenced as factual input data, or are calculated using the the assumptions contained in shaded cells.  For the model to work as intended, these cells should not be altered.  </a:t>
          </a:r>
          <a:endParaRPr lang="en-US" sz="1400" b="0"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b="0"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latin typeface="+mn-lt"/>
              <a:ea typeface="+mn-ea"/>
              <a:cs typeface="+mn-cs"/>
            </a:rPr>
            <a:t>T</a:t>
          </a:r>
          <a:r>
            <a:rPr lang="en-US" sz="1400" b="0" i="1" baseline="0">
              <a:solidFill>
                <a:sysClr val="windowText" lastClr="000000"/>
              </a:solidFill>
            </a:rPr>
            <a:t>o see how different sets of assumptions on different varibles impact conclusions, simply use another copy of this Excel file.  </a:t>
          </a:r>
          <a:r>
            <a:rPr lang="en-US" sz="1400" b="0" i="1" u="sng" baseline="0">
              <a:solidFill>
                <a:sysClr val="windowText" lastClr="000000"/>
              </a:solidFill>
            </a:rPr>
            <a:t>High, Medium, and Low scenarios for the entire model can be generated in this way.</a:t>
          </a:r>
          <a:r>
            <a:rPr lang="en-US" sz="1400" b="0" i="1" u="none" baseline="0">
              <a:solidFill>
                <a:sysClr val="windowText" lastClr="000000"/>
              </a:solidFill>
            </a:rPr>
            <a:t>  </a:t>
          </a:r>
          <a:r>
            <a:rPr lang="en-US" sz="1400" b="0" i="1" baseline="0">
              <a:solidFill>
                <a:sysClr val="windowText" lastClr="000000"/>
              </a:solidFill>
            </a:rPr>
            <a:t>The last pages of this model can be printed to summarize the inputs and outputs of each copy.</a:t>
          </a:r>
          <a:endParaRPr lang="en-US" sz="1400" b="1" i="1"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677333</xdr:colOff>
      <xdr:row>2</xdr:row>
      <xdr:rowOff>10583</xdr:rowOff>
    </xdr:from>
    <xdr:to>
      <xdr:col>6</xdr:col>
      <xdr:colOff>677333</xdr:colOff>
      <xdr:row>6</xdr:row>
      <xdr:rowOff>84667</xdr:rowOff>
    </xdr:to>
    <xdr:sp macro="" textlink="">
      <xdr:nvSpPr>
        <xdr:cNvPr id="2" name="TextBox 1"/>
        <xdr:cNvSpPr txBox="1"/>
      </xdr:nvSpPr>
      <xdr:spPr>
        <a:xfrm>
          <a:off x="5016500" y="391583"/>
          <a:ext cx="2169583" cy="836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a:t>
          </a:r>
          <a:r>
            <a:rPr lang="en-US" sz="1100" baseline="0"/>
            <a:t> note: these figures are off very slightly from the contents of the presentation - no more than 0.1.  A rounding issue.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4</xdr:col>
      <xdr:colOff>9525</xdr:colOff>
      <xdr:row>4</xdr:row>
      <xdr:rowOff>9525</xdr:rowOff>
    </xdr:to>
    <xdr:pic>
      <xdr:nvPicPr>
        <xdr:cNvPr id="1025" name="Picture 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352675" y="190500"/>
          <a:ext cx="9525" cy="9525"/>
        </a:xfrm>
        <a:prstGeom prst="rect">
          <a:avLst/>
        </a:prstGeom>
        <a:noFill/>
      </xdr:spPr>
    </xdr:pic>
    <xdr:clientData/>
  </xdr:twoCellAnchor>
  <xdr:twoCellAnchor editAs="oneCell">
    <xdr:from>
      <xdr:col>3</xdr:col>
      <xdr:colOff>0</xdr:colOff>
      <xdr:row>4</xdr:row>
      <xdr:rowOff>0</xdr:rowOff>
    </xdr:from>
    <xdr:to>
      <xdr:col>3</xdr:col>
      <xdr:colOff>9525</xdr:colOff>
      <xdr:row>4</xdr:row>
      <xdr:rowOff>9525</xdr:rowOff>
    </xdr:to>
    <xdr:pic>
      <xdr:nvPicPr>
        <xdr:cNvPr id="1026" name="Picture 2"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3571875" y="190500"/>
          <a:ext cx="9525" cy="9525"/>
        </a:xfrm>
        <a:prstGeom prst="rect">
          <a:avLst/>
        </a:prstGeom>
        <a:noFill/>
      </xdr:spPr>
    </xdr:pic>
    <xdr:clientData/>
  </xdr:twoCellAnchor>
  <xdr:twoCellAnchor editAs="oneCell">
    <xdr:from>
      <xdr:col>2</xdr:col>
      <xdr:colOff>0</xdr:colOff>
      <xdr:row>4</xdr:row>
      <xdr:rowOff>0</xdr:rowOff>
    </xdr:from>
    <xdr:to>
      <xdr:col>2</xdr:col>
      <xdr:colOff>9525</xdr:colOff>
      <xdr:row>4</xdr:row>
      <xdr:rowOff>9525</xdr:rowOff>
    </xdr:to>
    <xdr:pic>
      <xdr:nvPicPr>
        <xdr:cNvPr id="1027" name="Picture 3"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791075" y="190500"/>
          <a:ext cx="9525" cy="9525"/>
        </a:xfrm>
        <a:prstGeom prst="rect">
          <a:avLst/>
        </a:prstGeom>
        <a:noFill/>
      </xdr:spPr>
    </xdr:pic>
    <xdr:clientData/>
  </xdr:twoCellAnchor>
  <xdr:twoCellAnchor editAs="oneCell">
    <xdr:from>
      <xdr:col>1</xdr:col>
      <xdr:colOff>0</xdr:colOff>
      <xdr:row>4</xdr:row>
      <xdr:rowOff>0</xdr:rowOff>
    </xdr:from>
    <xdr:to>
      <xdr:col>1</xdr:col>
      <xdr:colOff>9525</xdr:colOff>
      <xdr:row>4</xdr:row>
      <xdr:rowOff>9525</xdr:rowOff>
    </xdr:to>
    <xdr:pic>
      <xdr:nvPicPr>
        <xdr:cNvPr id="1028" name="Picture 4"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6010275" y="190500"/>
          <a:ext cx="9525" cy="9525"/>
        </a:xfrm>
        <a:prstGeom prst="rect">
          <a:avLst/>
        </a:prstGeom>
        <a:noFill/>
      </xdr:spPr>
    </xdr:pic>
    <xdr:clientData/>
  </xdr:twoCellAnchor>
  <xdr:twoCellAnchor editAs="oneCell">
    <xdr:from>
      <xdr:col>4</xdr:col>
      <xdr:colOff>0</xdr:colOff>
      <xdr:row>5</xdr:row>
      <xdr:rowOff>0</xdr:rowOff>
    </xdr:from>
    <xdr:to>
      <xdr:col>4</xdr:col>
      <xdr:colOff>9525</xdr:colOff>
      <xdr:row>5</xdr:row>
      <xdr:rowOff>9525</xdr:rowOff>
    </xdr:to>
    <xdr:pic>
      <xdr:nvPicPr>
        <xdr:cNvPr id="1029" name="Picture 5"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352675" y="762000"/>
          <a:ext cx="9525" cy="9525"/>
        </a:xfrm>
        <a:prstGeom prst="rect">
          <a:avLst/>
        </a:prstGeom>
        <a:noFill/>
      </xdr:spPr>
    </xdr:pic>
    <xdr:clientData/>
  </xdr:twoCellAnchor>
  <xdr:twoCellAnchor editAs="oneCell">
    <xdr:from>
      <xdr:col>3</xdr:col>
      <xdr:colOff>0</xdr:colOff>
      <xdr:row>5</xdr:row>
      <xdr:rowOff>0</xdr:rowOff>
    </xdr:from>
    <xdr:to>
      <xdr:col>3</xdr:col>
      <xdr:colOff>9525</xdr:colOff>
      <xdr:row>5</xdr:row>
      <xdr:rowOff>9525</xdr:rowOff>
    </xdr:to>
    <xdr:pic>
      <xdr:nvPicPr>
        <xdr:cNvPr id="1030" name="Picture 6"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3571875" y="762000"/>
          <a:ext cx="9525" cy="9525"/>
        </a:xfrm>
        <a:prstGeom prst="rect">
          <a:avLst/>
        </a:prstGeom>
        <a:noFill/>
      </xdr:spPr>
    </xdr:pic>
    <xdr:clientData/>
  </xdr:twoCellAnchor>
  <xdr:twoCellAnchor editAs="oneCell">
    <xdr:from>
      <xdr:col>2</xdr:col>
      <xdr:colOff>0</xdr:colOff>
      <xdr:row>5</xdr:row>
      <xdr:rowOff>0</xdr:rowOff>
    </xdr:from>
    <xdr:to>
      <xdr:col>2</xdr:col>
      <xdr:colOff>9525</xdr:colOff>
      <xdr:row>5</xdr:row>
      <xdr:rowOff>9525</xdr:rowOff>
    </xdr:to>
    <xdr:pic>
      <xdr:nvPicPr>
        <xdr:cNvPr id="1031" name="Picture 7"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791075" y="762000"/>
          <a:ext cx="9525" cy="9525"/>
        </a:xfrm>
        <a:prstGeom prst="rect">
          <a:avLst/>
        </a:prstGeom>
        <a:noFill/>
      </xdr:spPr>
    </xdr:pic>
    <xdr:clientData/>
  </xdr:twoCellAnchor>
  <xdr:twoCellAnchor editAs="oneCell">
    <xdr:from>
      <xdr:col>1</xdr:col>
      <xdr:colOff>0</xdr:colOff>
      <xdr:row>5</xdr:row>
      <xdr:rowOff>0</xdr:rowOff>
    </xdr:from>
    <xdr:to>
      <xdr:col>1</xdr:col>
      <xdr:colOff>9525</xdr:colOff>
      <xdr:row>5</xdr:row>
      <xdr:rowOff>9525</xdr:rowOff>
    </xdr:to>
    <xdr:pic>
      <xdr:nvPicPr>
        <xdr:cNvPr id="1032" name="Picture 8"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6010275" y="762000"/>
          <a:ext cx="9525" cy="9525"/>
        </a:xfrm>
        <a:prstGeom prst="rect">
          <a:avLst/>
        </a:prstGeom>
        <a:noFill/>
      </xdr:spPr>
    </xdr:pic>
    <xdr:clientData/>
  </xdr:twoCellAnchor>
  <xdr:twoCellAnchor editAs="oneCell">
    <xdr:from>
      <xdr:col>10</xdr:col>
      <xdr:colOff>0</xdr:colOff>
      <xdr:row>5</xdr:row>
      <xdr:rowOff>0</xdr:rowOff>
    </xdr:from>
    <xdr:to>
      <xdr:col>10</xdr:col>
      <xdr:colOff>9525</xdr:colOff>
      <xdr:row>5</xdr:row>
      <xdr:rowOff>9525</xdr:rowOff>
    </xdr:to>
    <xdr:pic>
      <xdr:nvPicPr>
        <xdr:cNvPr id="1033" name="Picture 9"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352675" y="3048000"/>
          <a:ext cx="9525" cy="9525"/>
        </a:xfrm>
        <a:prstGeom prst="rect">
          <a:avLst/>
        </a:prstGeom>
        <a:noFill/>
      </xdr:spPr>
    </xdr:pic>
    <xdr:clientData/>
  </xdr:twoCellAnchor>
  <xdr:twoCellAnchor editAs="oneCell">
    <xdr:from>
      <xdr:col>9</xdr:col>
      <xdr:colOff>0</xdr:colOff>
      <xdr:row>5</xdr:row>
      <xdr:rowOff>0</xdr:rowOff>
    </xdr:from>
    <xdr:to>
      <xdr:col>9</xdr:col>
      <xdr:colOff>9525</xdr:colOff>
      <xdr:row>5</xdr:row>
      <xdr:rowOff>9525</xdr:rowOff>
    </xdr:to>
    <xdr:pic>
      <xdr:nvPicPr>
        <xdr:cNvPr id="1034" name="Picture 10"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3571875" y="3048000"/>
          <a:ext cx="9525" cy="9525"/>
        </a:xfrm>
        <a:prstGeom prst="rect">
          <a:avLst/>
        </a:prstGeom>
        <a:noFill/>
      </xdr:spPr>
    </xdr:pic>
    <xdr:clientData/>
  </xdr:twoCellAnchor>
  <xdr:twoCellAnchor editAs="oneCell">
    <xdr:from>
      <xdr:col>10</xdr:col>
      <xdr:colOff>0</xdr:colOff>
      <xdr:row>5</xdr:row>
      <xdr:rowOff>0</xdr:rowOff>
    </xdr:from>
    <xdr:to>
      <xdr:col>10</xdr:col>
      <xdr:colOff>9525</xdr:colOff>
      <xdr:row>5</xdr:row>
      <xdr:rowOff>9525</xdr:rowOff>
    </xdr:to>
    <xdr:pic>
      <xdr:nvPicPr>
        <xdr:cNvPr id="1035" name="Picture 1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791075" y="3048000"/>
          <a:ext cx="9525" cy="9525"/>
        </a:xfrm>
        <a:prstGeom prst="rect">
          <a:avLst/>
        </a:prstGeom>
        <a:noFill/>
      </xdr:spPr>
    </xdr:pic>
    <xdr:clientData/>
  </xdr:twoCellAnchor>
  <xdr:twoCellAnchor editAs="oneCell">
    <xdr:from>
      <xdr:col>9</xdr:col>
      <xdr:colOff>0</xdr:colOff>
      <xdr:row>5</xdr:row>
      <xdr:rowOff>0</xdr:rowOff>
    </xdr:from>
    <xdr:to>
      <xdr:col>9</xdr:col>
      <xdr:colOff>9525</xdr:colOff>
      <xdr:row>5</xdr:row>
      <xdr:rowOff>9525</xdr:rowOff>
    </xdr:to>
    <xdr:pic>
      <xdr:nvPicPr>
        <xdr:cNvPr id="1036" name="Picture 12"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6010275" y="3048000"/>
          <a:ext cx="9525" cy="9525"/>
        </a:xfrm>
        <a:prstGeom prst="rect">
          <a:avLst/>
        </a:prstGeom>
        <a:noFill/>
      </xdr:spPr>
    </xdr:pic>
    <xdr:clientData/>
  </xdr:twoCellAnchor>
  <xdr:twoCellAnchor editAs="oneCell">
    <xdr:from>
      <xdr:col>4</xdr:col>
      <xdr:colOff>0</xdr:colOff>
      <xdr:row>7</xdr:row>
      <xdr:rowOff>0</xdr:rowOff>
    </xdr:from>
    <xdr:to>
      <xdr:col>4</xdr:col>
      <xdr:colOff>9525</xdr:colOff>
      <xdr:row>7</xdr:row>
      <xdr:rowOff>9525</xdr:rowOff>
    </xdr:to>
    <xdr:pic>
      <xdr:nvPicPr>
        <xdr:cNvPr id="1037" name="Picture 13"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352675" y="1714500"/>
          <a:ext cx="9525" cy="9525"/>
        </a:xfrm>
        <a:prstGeom prst="rect">
          <a:avLst/>
        </a:prstGeom>
        <a:noFill/>
      </xdr:spPr>
    </xdr:pic>
    <xdr:clientData/>
  </xdr:twoCellAnchor>
  <xdr:twoCellAnchor editAs="oneCell">
    <xdr:from>
      <xdr:col>3</xdr:col>
      <xdr:colOff>0</xdr:colOff>
      <xdr:row>7</xdr:row>
      <xdr:rowOff>0</xdr:rowOff>
    </xdr:from>
    <xdr:to>
      <xdr:col>3</xdr:col>
      <xdr:colOff>9525</xdr:colOff>
      <xdr:row>7</xdr:row>
      <xdr:rowOff>9525</xdr:rowOff>
    </xdr:to>
    <xdr:pic>
      <xdr:nvPicPr>
        <xdr:cNvPr id="1038" name="Picture 14"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3571875" y="1714500"/>
          <a:ext cx="9525" cy="9525"/>
        </a:xfrm>
        <a:prstGeom prst="rect">
          <a:avLst/>
        </a:prstGeom>
        <a:noFill/>
      </xdr:spPr>
    </xdr:pic>
    <xdr:clientData/>
  </xdr:twoCellAnchor>
  <xdr:twoCellAnchor editAs="oneCell">
    <xdr:from>
      <xdr:col>2</xdr:col>
      <xdr:colOff>0</xdr:colOff>
      <xdr:row>7</xdr:row>
      <xdr:rowOff>0</xdr:rowOff>
    </xdr:from>
    <xdr:to>
      <xdr:col>2</xdr:col>
      <xdr:colOff>9525</xdr:colOff>
      <xdr:row>7</xdr:row>
      <xdr:rowOff>9525</xdr:rowOff>
    </xdr:to>
    <xdr:pic>
      <xdr:nvPicPr>
        <xdr:cNvPr id="1039" name="Picture 15"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791075" y="1714500"/>
          <a:ext cx="9525" cy="9525"/>
        </a:xfrm>
        <a:prstGeom prst="rect">
          <a:avLst/>
        </a:prstGeom>
        <a:noFill/>
      </xdr:spPr>
    </xdr:pic>
    <xdr:clientData/>
  </xdr:twoCellAnchor>
  <xdr:twoCellAnchor editAs="oneCell">
    <xdr:from>
      <xdr:col>1</xdr:col>
      <xdr:colOff>0</xdr:colOff>
      <xdr:row>7</xdr:row>
      <xdr:rowOff>0</xdr:rowOff>
    </xdr:from>
    <xdr:to>
      <xdr:col>1</xdr:col>
      <xdr:colOff>9525</xdr:colOff>
      <xdr:row>7</xdr:row>
      <xdr:rowOff>9525</xdr:rowOff>
    </xdr:to>
    <xdr:pic>
      <xdr:nvPicPr>
        <xdr:cNvPr id="1040" name="Picture 16"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6010275" y="1714500"/>
          <a:ext cx="9525" cy="9525"/>
        </a:xfrm>
        <a:prstGeom prst="rect">
          <a:avLst/>
        </a:prstGeom>
        <a:noFill/>
      </xdr:spPr>
    </xdr:pic>
    <xdr:clientData/>
  </xdr:twoCellAnchor>
  <xdr:twoCellAnchor editAs="oneCell">
    <xdr:from>
      <xdr:col>10</xdr:col>
      <xdr:colOff>0</xdr:colOff>
      <xdr:row>6</xdr:row>
      <xdr:rowOff>0</xdr:rowOff>
    </xdr:from>
    <xdr:to>
      <xdr:col>10</xdr:col>
      <xdr:colOff>9525</xdr:colOff>
      <xdr:row>6</xdr:row>
      <xdr:rowOff>9525</xdr:rowOff>
    </xdr:to>
    <xdr:pic>
      <xdr:nvPicPr>
        <xdr:cNvPr id="1041" name="Picture 17"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352675" y="3810000"/>
          <a:ext cx="9525" cy="9525"/>
        </a:xfrm>
        <a:prstGeom prst="rect">
          <a:avLst/>
        </a:prstGeom>
        <a:noFill/>
      </xdr:spPr>
    </xdr:pic>
    <xdr:clientData/>
  </xdr:twoCellAnchor>
  <xdr:twoCellAnchor editAs="oneCell">
    <xdr:from>
      <xdr:col>9</xdr:col>
      <xdr:colOff>0</xdr:colOff>
      <xdr:row>6</xdr:row>
      <xdr:rowOff>0</xdr:rowOff>
    </xdr:from>
    <xdr:to>
      <xdr:col>9</xdr:col>
      <xdr:colOff>9525</xdr:colOff>
      <xdr:row>6</xdr:row>
      <xdr:rowOff>9525</xdr:rowOff>
    </xdr:to>
    <xdr:pic>
      <xdr:nvPicPr>
        <xdr:cNvPr id="1042" name="Picture 18"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3571875" y="3810000"/>
          <a:ext cx="9525" cy="9525"/>
        </a:xfrm>
        <a:prstGeom prst="rect">
          <a:avLst/>
        </a:prstGeom>
        <a:noFill/>
      </xdr:spPr>
    </xdr:pic>
    <xdr:clientData/>
  </xdr:twoCellAnchor>
  <xdr:twoCellAnchor editAs="oneCell">
    <xdr:from>
      <xdr:col>10</xdr:col>
      <xdr:colOff>0</xdr:colOff>
      <xdr:row>6</xdr:row>
      <xdr:rowOff>0</xdr:rowOff>
    </xdr:from>
    <xdr:to>
      <xdr:col>10</xdr:col>
      <xdr:colOff>9525</xdr:colOff>
      <xdr:row>6</xdr:row>
      <xdr:rowOff>9525</xdr:rowOff>
    </xdr:to>
    <xdr:pic>
      <xdr:nvPicPr>
        <xdr:cNvPr id="1043" name="Picture 19"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791075" y="3810000"/>
          <a:ext cx="9525" cy="9525"/>
        </a:xfrm>
        <a:prstGeom prst="rect">
          <a:avLst/>
        </a:prstGeom>
        <a:noFill/>
      </xdr:spPr>
    </xdr:pic>
    <xdr:clientData/>
  </xdr:twoCellAnchor>
  <xdr:twoCellAnchor editAs="oneCell">
    <xdr:from>
      <xdr:col>9</xdr:col>
      <xdr:colOff>0</xdr:colOff>
      <xdr:row>6</xdr:row>
      <xdr:rowOff>0</xdr:rowOff>
    </xdr:from>
    <xdr:to>
      <xdr:col>9</xdr:col>
      <xdr:colOff>9525</xdr:colOff>
      <xdr:row>6</xdr:row>
      <xdr:rowOff>9525</xdr:rowOff>
    </xdr:to>
    <xdr:pic>
      <xdr:nvPicPr>
        <xdr:cNvPr id="1044" name="Picture 20"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6010275" y="3810000"/>
          <a:ext cx="9525" cy="9525"/>
        </a:xfrm>
        <a:prstGeom prst="rect">
          <a:avLst/>
        </a:prstGeom>
        <a:noFill/>
      </xdr:spPr>
    </xdr:pic>
    <xdr:clientData/>
  </xdr:twoCellAnchor>
  <xdr:twoCellAnchor editAs="oneCell">
    <xdr:from>
      <xdr:col>4</xdr:col>
      <xdr:colOff>0</xdr:colOff>
      <xdr:row>8</xdr:row>
      <xdr:rowOff>0</xdr:rowOff>
    </xdr:from>
    <xdr:to>
      <xdr:col>4</xdr:col>
      <xdr:colOff>9525</xdr:colOff>
      <xdr:row>8</xdr:row>
      <xdr:rowOff>9525</xdr:rowOff>
    </xdr:to>
    <xdr:pic>
      <xdr:nvPicPr>
        <xdr:cNvPr id="1048" name="Picture 24"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1905000"/>
          <a:ext cx="9525" cy="9525"/>
        </a:xfrm>
        <a:prstGeom prst="rect">
          <a:avLst/>
        </a:prstGeom>
        <a:noFill/>
      </xdr:spPr>
    </xdr:pic>
    <xdr:clientData/>
  </xdr:twoCellAnchor>
  <xdr:twoCellAnchor editAs="oneCell">
    <xdr:from>
      <xdr:col>3</xdr:col>
      <xdr:colOff>0</xdr:colOff>
      <xdr:row>8</xdr:row>
      <xdr:rowOff>0</xdr:rowOff>
    </xdr:from>
    <xdr:to>
      <xdr:col>3</xdr:col>
      <xdr:colOff>9525</xdr:colOff>
      <xdr:row>8</xdr:row>
      <xdr:rowOff>9525</xdr:rowOff>
    </xdr:to>
    <xdr:pic>
      <xdr:nvPicPr>
        <xdr:cNvPr id="1049" name="Picture 25"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1905000"/>
          <a:ext cx="9525" cy="9525"/>
        </a:xfrm>
        <a:prstGeom prst="rect">
          <a:avLst/>
        </a:prstGeom>
        <a:noFill/>
      </xdr:spPr>
    </xdr:pic>
    <xdr:clientData/>
  </xdr:twoCellAnchor>
  <xdr:twoCellAnchor editAs="oneCell">
    <xdr:from>
      <xdr:col>2</xdr:col>
      <xdr:colOff>0</xdr:colOff>
      <xdr:row>8</xdr:row>
      <xdr:rowOff>0</xdr:rowOff>
    </xdr:from>
    <xdr:to>
      <xdr:col>2</xdr:col>
      <xdr:colOff>9525</xdr:colOff>
      <xdr:row>8</xdr:row>
      <xdr:rowOff>9525</xdr:rowOff>
    </xdr:to>
    <xdr:pic>
      <xdr:nvPicPr>
        <xdr:cNvPr id="1050" name="Picture 26"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5600700" y="1905000"/>
          <a:ext cx="9525" cy="9525"/>
        </a:xfrm>
        <a:prstGeom prst="rect">
          <a:avLst/>
        </a:prstGeom>
        <a:noFill/>
      </xdr:spPr>
    </xdr:pic>
    <xdr:clientData/>
  </xdr:twoCellAnchor>
  <xdr:twoCellAnchor editAs="oneCell">
    <xdr:from>
      <xdr:col>1</xdr:col>
      <xdr:colOff>0</xdr:colOff>
      <xdr:row>8</xdr:row>
      <xdr:rowOff>0</xdr:rowOff>
    </xdr:from>
    <xdr:to>
      <xdr:col>1</xdr:col>
      <xdr:colOff>9525</xdr:colOff>
      <xdr:row>8</xdr:row>
      <xdr:rowOff>9525</xdr:rowOff>
    </xdr:to>
    <xdr:pic>
      <xdr:nvPicPr>
        <xdr:cNvPr id="1051" name="Picture 27"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7143750" y="1905000"/>
          <a:ext cx="9525" cy="9525"/>
        </a:xfrm>
        <a:prstGeom prst="rect">
          <a:avLst/>
        </a:prstGeom>
        <a:noFill/>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052" name="Picture 28"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4000500"/>
          <a:ext cx="9525" cy="9525"/>
        </a:xfrm>
        <a:prstGeom prst="rect">
          <a:avLst/>
        </a:prstGeom>
        <a:noFill/>
      </xdr:spPr>
    </xdr:pic>
    <xdr:clientData/>
  </xdr:twoCellAnchor>
  <xdr:twoCellAnchor editAs="oneCell">
    <xdr:from>
      <xdr:col>9</xdr:col>
      <xdr:colOff>0</xdr:colOff>
      <xdr:row>8</xdr:row>
      <xdr:rowOff>0</xdr:rowOff>
    </xdr:from>
    <xdr:to>
      <xdr:col>9</xdr:col>
      <xdr:colOff>9525</xdr:colOff>
      <xdr:row>8</xdr:row>
      <xdr:rowOff>9525</xdr:rowOff>
    </xdr:to>
    <xdr:pic>
      <xdr:nvPicPr>
        <xdr:cNvPr id="1053" name="Picture 29"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4000500"/>
          <a:ext cx="9525" cy="9525"/>
        </a:xfrm>
        <a:prstGeom prst="rect">
          <a:avLst/>
        </a:prstGeom>
        <a:noFill/>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054" name="Picture 30"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5600700" y="4000500"/>
          <a:ext cx="9525" cy="9525"/>
        </a:xfrm>
        <a:prstGeom prst="rect">
          <a:avLst/>
        </a:prstGeom>
        <a:noFill/>
      </xdr:spPr>
    </xdr:pic>
    <xdr:clientData/>
  </xdr:twoCellAnchor>
  <xdr:twoCellAnchor editAs="oneCell">
    <xdr:from>
      <xdr:col>9</xdr:col>
      <xdr:colOff>0</xdr:colOff>
      <xdr:row>8</xdr:row>
      <xdr:rowOff>0</xdr:rowOff>
    </xdr:from>
    <xdr:to>
      <xdr:col>9</xdr:col>
      <xdr:colOff>9525</xdr:colOff>
      <xdr:row>8</xdr:row>
      <xdr:rowOff>9525</xdr:rowOff>
    </xdr:to>
    <xdr:pic>
      <xdr:nvPicPr>
        <xdr:cNvPr id="1055" name="Picture 3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7143750" y="4000500"/>
          <a:ext cx="9525" cy="9525"/>
        </a:xfrm>
        <a:prstGeom prst="rect">
          <a:avLst/>
        </a:prstGeom>
        <a:noFill/>
      </xdr:spPr>
    </xdr:pic>
    <xdr:clientData/>
  </xdr:twoCellAnchor>
  <xdr:twoCellAnchor editAs="oneCell">
    <xdr:from>
      <xdr:col>4</xdr:col>
      <xdr:colOff>0</xdr:colOff>
      <xdr:row>9</xdr:row>
      <xdr:rowOff>0</xdr:rowOff>
    </xdr:from>
    <xdr:to>
      <xdr:col>4</xdr:col>
      <xdr:colOff>9525</xdr:colOff>
      <xdr:row>9</xdr:row>
      <xdr:rowOff>9525</xdr:rowOff>
    </xdr:to>
    <xdr:pic>
      <xdr:nvPicPr>
        <xdr:cNvPr id="1056" name="Picture 32"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2095500"/>
          <a:ext cx="9525" cy="9525"/>
        </a:xfrm>
        <a:prstGeom prst="rect">
          <a:avLst/>
        </a:prstGeom>
        <a:noFill/>
      </xdr:spPr>
    </xdr:pic>
    <xdr:clientData/>
  </xdr:twoCellAnchor>
  <xdr:twoCellAnchor editAs="oneCell">
    <xdr:from>
      <xdr:col>3</xdr:col>
      <xdr:colOff>0</xdr:colOff>
      <xdr:row>9</xdr:row>
      <xdr:rowOff>0</xdr:rowOff>
    </xdr:from>
    <xdr:to>
      <xdr:col>3</xdr:col>
      <xdr:colOff>9525</xdr:colOff>
      <xdr:row>9</xdr:row>
      <xdr:rowOff>9525</xdr:rowOff>
    </xdr:to>
    <xdr:pic>
      <xdr:nvPicPr>
        <xdr:cNvPr id="1057" name="Picture 33"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2095500"/>
          <a:ext cx="9525" cy="9525"/>
        </a:xfrm>
        <a:prstGeom prst="rect">
          <a:avLst/>
        </a:prstGeom>
        <a:noFill/>
      </xdr:spPr>
    </xdr:pic>
    <xdr:clientData/>
  </xdr:twoCellAnchor>
  <xdr:twoCellAnchor editAs="oneCell">
    <xdr:from>
      <xdr:col>2</xdr:col>
      <xdr:colOff>0</xdr:colOff>
      <xdr:row>9</xdr:row>
      <xdr:rowOff>0</xdr:rowOff>
    </xdr:from>
    <xdr:to>
      <xdr:col>2</xdr:col>
      <xdr:colOff>9525</xdr:colOff>
      <xdr:row>9</xdr:row>
      <xdr:rowOff>9525</xdr:rowOff>
    </xdr:to>
    <xdr:pic>
      <xdr:nvPicPr>
        <xdr:cNvPr id="1058" name="Picture 34"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5600700" y="2095500"/>
          <a:ext cx="9525" cy="9525"/>
        </a:xfrm>
        <a:prstGeom prst="rect">
          <a:avLst/>
        </a:prstGeom>
        <a:noFill/>
      </xdr:spPr>
    </xdr:pic>
    <xdr:clientData/>
  </xdr:twoCellAnchor>
  <xdr:twoCellAnchor editAs="oneCell">
    <xdr:from>
      <xdr:col>1</xdr:col>
      <xdr:colOff>0</xdr:colOff>
      <xdr:row>9</xdr:row>
      <xdr:rowOff>0</xdr:rowOff>
    </xdr:from>
    <xdr:to>
      <xdr:col>1</xdr:col>
      <xdr:colOff>9525</xdr:colOff>
      <xdr:row>9</xdr:row>
      <xdr:rowOff>9525</xdr:rowOff>
    </xdr:to>
    <xdr:pic>
      <xdr:nvPicPr>
        <xdr:cNvPr id="1059" name="Picture 35"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7143750" y="2095500"/>
          <a:ext cx="9525" cy="9525"/>
        </a:xfrm>
        <a:prstGeom prst="rect">
          <a:avLst/>
        </a:prstGeom>
        <a:noFill/>
      </xdr:spPr>
    </xdr:pic>
    <xdr:clientData/>
  </xdr:twoCellAnchor>
  <xdr:twoCellAnchor editAs="oneCell">
    <xdr:from>
      <xdr:col>10</xdr:col>
      <xdr:colOff>0</xdr:colOff>
      <xdr:row>9</xdr:row>
      <xdr:rowOff>0</xdr:rowOff>
    </xdr:from>
    <xdr:to>
      <xdr:col>10</xdr:col>
      <xdr:colOff>9525</xdr:colOff>
      <xdr:row>9</xdr:row>
      <xdr:rowOff>9525</xdr:rowOff>
    </xdr:to>
    <xdr:pic>
      <xdr:nvPicPr>
        <xdr:cNvPr id="1060" name="Picture 36"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4191000"/>
          <a:ext cx="9525" cy="9525"/>
        </a:xfrm>
        <a:prstGeom prst="rect">
          <a:avLst/>
        </a:prstGeom>
        <a:noFill/>
      </xdr:spPr>
    </xdr:pic>
    <xdr:clientData/>
  </xdr:twoCellAnchor>
  <xdr:twoCellAnchor editAs="oneCell">
    <xdr:from>
      <xdr:col>9</xdr:col>
      <xdr:colOff>0</xdr:colOff>
      <xdr:row>9</xdr:row>
      <xdr:rowOff>0</xdr:rowOff>
    </xdr:from>
    <xdr:to>
      <xdr:col>9</xdr:col>
      <xdr:colOff>9525</xdr:colOff>
      <xdr:row>9</xdr:row>
      <xdr:rowOff>9525</xdr:rowOff>
    </xdr:to>
    <xdr:pic>
      <xdr:nvPicPr>
        <xdr:cNvPr id="1061" name="Picture 37"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4191000"/>
          <a:ext cx="9525" cy="9525"/>
        </a:xfrm>
        <a:prstGeom prst="rect">
          <a:avLst/>
        </a:prstGeom>
        <a:noFill/>
      </xdr:spPr>
    </xdr:pic>
    <xdr:clientData/>
  </xdr:twoCellAnchor>
  <xdr:twoCellAnchor editAs="oneCell">
    <xdr:from>
      <xdr:col>10</xdr:col>
      <xdr:colOff>0</xdr:colOff>
      <xdr:row>9</xdr:row>
      <xdr:rowOff>0</xdr:rowOff>
    </xdr:from>
    <xdr:to>
      <xdr:col>10</xdr:col>
      <xdr:colOff>9525</xdr:colOff>
      <xdr:row>9</xdr:row>
      <xdr:rowOff>9525</xdr:rowOff>
    </xdr:to>
    <xdr:pic>
      <xdr:nvPicPr>
        <xdr:cNvPr id="1062" name="Picture 38"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5600700" y="4191000"/>
          <a:ext cx="9525" cy="9525"/>
        </a:xfrm>
        <a:prstGeom prst="rect">
          <a:avLst/>
        </a:prstGeom>
        <a:noFill/>
      </xdr:spPr>
    </xdr:pic>
    <xdr:clientData/>
  </xdr:twoCellAnchor>
  <xdr:twoCellAnchor editAs="oneCell">
    <xdr:from>
      <xdr:col>9</xdr:col>
      <xdr:colOff>0</xdr:colOff>
      <xdr:row>9</xdr:row>
      <xdr:rowOff>0</xdr:rowOff>
    </xdr:from>
    <xdr:to>
      <xdr:col>9</xdr:col>
      <xdr:colOff>9525</xdr:colOff>
      <xdr:row>9</xdr:row>
      <xdr:rowOff>9525</xdr:rowOff>
    </xdr:to>
    <xdr:pic>
      <xdr:nvPicPr>
        <xdr:cNvPr id="1063" name="Picture 39"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7143750" y="4191000"/>
          <a:ext cx="9525" cy="9525"/>
        </a:xfrm>
        <a:prstGeom prst="rect">
          <a:avLst/>
        </a:prstGeom>
        <a:noFill/>
      </xdr:spPr>
    </xdr:pic>
    <xdr:clientData/>
  </xdr:twoCellAnchor>
  <xdr:twoCellAnchor editAs="oneCell">
    <xdr:from>
      <xdr:col>4</xdr:col>
      <xdr:colOff>0</xdr:colOff>
      <xdr:row>6</xdr:row>
      <xdr:rowOff>0</xdr:rowOff>
    </xdr:from>
    <xdr:to>
      <xdr:col>4</xdr:col>
      <xdr:colOff>9525</xdr:colOff>
      <xdr:row>6</xdr:row>
      <xdr:rowOff>9525</xdr:rowOff>
    </xdr:to>
    <xdr:pic>
      <xdr:nvPicPr>
        <xdr:cNvPr id="1064" name="Picture 40"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1524000"/>
          <a:ext cx="9525" cy="9525"/>
        </a:xfrm>
        <a:prstGeom prst="rect">
          <a:avLst/>
        </a:prstGeom>
        <a:noFill/>
      </xdr:spPr>
    </xdr:pic>
    <xdr:clientData/>
  </xdr:twoCellAnchor>
  <xdr:twoCellAnchor editAs="oneCell">
    <xdr:from>
      <xdr:col>3</xdr:col>
      <xdr:colOff>0</xdr:colOff>
      <xdr:row>6</xdr:row>
      <xdr:rowOff>0</xdr:rowOff>
    </xdr:from>
    <xdr:to>
      <xdr:col>3</xdr:col>
      <xdr:colOff>9525</xdr:colOff>
      <xdr:row>6</xdr:row>
      <xdr:rowOff>9525</xdr:rowOff>
    </xdr:to>
    <xdr:pic>
      <xdr:nvPicPr>
        <xdr:cNvPr id="1065" name="Picture 4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1524000"/>
          <a:ext cx="9525" cy="9525"/>
        </a:xfrm>
        <a:prstGeom prst="rect">
          <a:avLst/>
        </a:prstGeom>
        <a:noFill/>
      </xdr:spPr>
    </xdr:pic>
    <xdr:clientData/>
  </xdr:twoCellAnchor>
  <xdr:twoCellAnchor editAs="oneCell">
    <xdr:from>
      <xdr:col>2</xdr:col>
      <xdr:colOff>0</xdr:colOff>
      <xdr:row>6</xdr:row>
      <xdr:rowOff>0</xdr:rowOff>
    </xdr:from>
    <xdr:to>
      <xdr:col>2</xdr:col>
      <xdr:colOff>9525</xdr:colOff>
      <xdr:row>6</xdr:row>
      <xdr:rowOff>9525</xdr:rowOff>
    </xdr:to>
    <xdr:pic>
      <xdr:nvPicPr>
        <xdr:cNvPr id="1066" name="Picture 42"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5600700" y="1524000"/>
          <a:ext cx="9525" cy="9525"/>
        </a:xfrm>
        <a:prstGeom prst="rect">
          <a:avLst/>
        </a:prstGeom>
        <a:noFill/>
      </xdr:spPr>
    </xdr:pic>
    <xdr:clientData/>
  </xdr:twoCellAnchor>
  <xdr:twoCellAnchor editAs="oneCell">
    <xdr:from>
      <xdr:col>1</xdr:col>
      <xdr:colOff>0</xdr:colOff>
      <xdr:row>6</xdr:row>
      <xdr:rowOff>0</xdr:rowOff>
    </xdr:from>
    <xdr:to>
      <xdr:col>1</xdr:col>
      <xdr:colOff>9525</xdr:colOff>
      <xdr:row>6</xdr:row>
      <xdr:rowOff>9525</xdr:rowOff>
    </xdr:to>
    <xdr:pic>
      <xdr:nvPicPr>
        <xdr:cNvPr id="1067" name="Picture 43"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7143750" y="1524000"/>
          <a:ext cx="9525" cy="9525"/>
        </a:xfrm>
        <a:prstGeom prst="rect">
          <a:avLst/>
        </a:prstGeom>
        <a:noFill/>
      </xdr:spPr>
    </xdr:pic>
    <xdr:clientData/>
  </xdr:twoCellAnchor>
  <xdr:twoCellAnchor editAs="oneCell">
    <xdr:from>
      <xdr:col>4</xdr:col>
      <xdr:colOff>0</xdr:colOff>
      <xdr:row>7</xdr:row>
      <xdr:rowOff>0</xdr:rowOff>
    </xdr:from>
    <xdr:to>
      <xdr:col>4</xdr:col>
      <xdr:colOff>9525</xdr:colOff>
      <xdr:row>7</xdr:row>
      <xdr:rowOff>9525</xdr:rowOff>
    </xdr:to>
    <xdr:pic>
      <xdr:nvPicPr>
        <xdr:cNvPr id="1068" name="Picture 44"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1714500"/>
          <a:ext cx="9525" cy="9525"/>
        </a:xfrm>
        <a:prstGeom prst="rect">
          <a:avLst/>
        </a:prstGeom>
        <a:noFill/>
      </xdr:spPr>
    </xdr:pic>
    <xdr:clientData/>
  </xdr:twoCellAnchor>
  <xdr:twoCellAnchor editAs="oneCell">
    <xdr:from>
      <xdr:col>3</xdr:col>
      <xdr:colOff>0</xdr:colOff>
      <xdr:row>7</xdr:row>
      <xdr:rowOff>0</xdr:rowOff>
    </xdr:from>
    <xdr:to>
      <xdr:col>3</xdr:col>
      <xdr:colOff>9525</xdr:colOff>
      <xdr:row>7</xdr:row>
      <xdr:rowOff>9525</xdr:rowOff>
    </xdr:to>
    <xdr:pic>
      <xdr:nvPicPr>
        <xdr:cNvPr id="1069" name="Picture 45"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1714500"/>
          <a:ext cx="9525" cy="9525"/>
        </a:xfrm>
        <a:prstGeom prst="rect">
          <a:avLst/>
        </a:prstGeom>
        <a:noFill/>
      </xdr:spPr>
    </xdr:pic>
    <xdr:clientData/>
  </xdr:twoCellAnchor>
  <xdr:twoCellAnchor editAs="oneCell">
    <xdr:from>
      <xdr:col>2</xdr:col>
      <xdr:colOff>0</xdr:colOff>
      <xdr:row>7</xdr:row>
      <xdr:rowOff>0</xdr:rowOff>
    </xdr:from>
    <xdr:to>
      <xdr:col>2</xdr:col>
      <xdr:colOff>9525</xdr:colOff>
      <xdr:row>7</xdr:row>
      <xdr:rowOff>9525</xdr:rowOff>
    </xdr:to>
    <xdr:pic>
      <xdr:nvPicPr>
        <xdr:cNvPr id="1070" name="Picture 46"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5600700" y="1714500"/>
          <a:ext cx="9525" cy="9525"/>
        </a:xfrm>
        <a:prstGeom prst="rect">
          <a:avLst/>
        </a:prstGeom>
        <a:noFill/>
      </xdr:spPr>
    </xdr:pic>
    <xdr:clientData/>
  </xdr:twoCellAnchor>
  <xdr:twoCellAnchor editAs="oneCell">
    <xdr:from>
      <xdr:col>1</xdr:col>
      <xdr:colOff>0</xdr:colOff>
      <xdr:row>7</xdr:row>
      <xdr:rowOff>0</xdr:rowOff>
    </xdr:from>
    <xdr:to>
      <xdr:col>1</xdr:col>
      <xdr:colOff>9525</xdr:colOff>
      <xdr:row>7</xdr:row>
      <xdr:rowOff>9525</xdr:rowOff>
    </xdr:to>
    <xdr:pic>
      <xdr:nvPicPr>
        <xdr:cNvPr id="1071" name="Picture 47"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7143750" y="1714500"/>
          <a:ext cx="9525" cy="9525"/>
        </a:xfrm>
        <a:prstGeom prst="rect">
          <a:avLst/>
        </a:prstGeom>
        <a:noFill/>
      </xdr:spPr>
    </xdr:pic>
    <xdr:clientData/>
  </xdr:twoCellAnchor>
  <xdr:twoCellAnchor editAs="oneCell">
    <xdr:from>
      <xdr:col>10</xdr:col>
      <xdr:colOff>0</xdr:colOff>
      <xdr:row>7</xdr:row>
      <xdr:rowOff>0</xdr:rowOff>
    </xdr:from>
    <xdr:to>
      <xdr:col>10</xdr:col>
      <xdr:colOff>9525</xdr:colOff>
      <xdr:row>7</xdr:row>
      <xdr:rowOff>9525</xdr:rowOff>
    </xdr:to>
    <xdr:pic>
      <xdr:nvPicPr>
        <xdr:cNvPr id="1072" name="Picture 48"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3810000"/>
          <a:ext cx="9525" cy="9525"/>
        </a:xfrm>
        <a:prstGeom prst="rect">
          <a:avLst/>
        </a:prstGeom>
        <a:noFill/>
      </xdr:spPr>
    </xdr:pic>
    <xdr:clientData/>
  </xdr:twoCellAnchor>
  <xdr:twoCellAnchor editAs="oneCell">
    <xdr:from>
      <xdr:col>9</xdr:col>
      <xdr:colOff>0</xdr:colOff>
      <xdr:row>7</xdr:row>
      <xdr:rowOff>0</xdr:rowOff>
    </xdr:from>
    <xdr:to>
      <xdr:col>9</xdr:col>
      <xdr:colOff>9525</xdr:colOff>
      <xdr:row>7</xdr:row>
      <xdr:rowOff>9525</xdr:rowOff>
    </xdr:to>
    <xdr:pic>
      <xdr:nvPicPr>
        <xdr:cNvPr id="1073" name="Picture 49"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3810000"/>
          <a:ext cx="9525" cy="9525"/>
        </a:xfrm>
        <a:prstGeom prst="rect">
          <a:avLst/>
        </a:prstGeom>
        <a:noFill/>
      </xdr:spPr>
    </xdr:pic>
    <xdr:clientData/>
  </xdr:twoCellAnchor>
  <xdr:twoCellAnchor editAs="oneCell">
    <xdr:from>
      <xdr:col>10</xdr:col>
      <xdr:colOff>0</xdr:colOff>
      <xdr:row>7</xdr:row>
      <xdr:rowOff>0</xdr:rowOff>
    </xdr:from>
    <xdr:to>
      <xdr:col>10</xdr:col>
      <xdr:colOff>9525</xdr:colOff>
      <xdr:row>7</xdr:row>
      <xdr:rowOff>9525</xdr:rowOff>
    </xdr:to>
    <xdr:pic>
      <xdr:nvPicPr>
        <xdr:cNvPr id="1074" name="Picture 50"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5600700" y="3810000"/>
          <a:ext cx="9525" cy="9525"/>
        </a:xfrm>
        <a:prstGeom prst="rect">
          <a:avLst/>
        </a:prstGeom>
        <a:noFill/>
      </xdr:spPr>
    </xdr:pic>
    <xdr:clientData/>
  </xdr:twoCellAnchor>
  <xdr:twoCellAnchor editAs="oneCell">
    <xdr:from>
      <xdr:col>9</xdr:col>
      <xdr:colOff>0</xdr:colOff>
      <xdr:row>7</xdr:row>
      <xdr:rowOff>0</xdr:rowOff>
    </xdr:from>
    <xdr:to>
      <xdr:col>9</xdr:col>
      <xdr:colOff>9525</xdr:colOff>
      <xdr:row>7</xdr:row>
      <xdr:rowOff>9525</xdr:rowOff>
    </xdr:to>
    <xdr:pic>
      <xdr:nvPicPr>
        <xdr:cNvPr id="1075" name="Picture 5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7143750" y="3810000"/>
          <a:ext cx="9525" cy="9525"/>
        </a:xfrm>
        <a:prstGeom prst="rect">
          <a:avLst/>
        </a:prstGeom>
        <a:noFill/>
      </xdr:spPr>
    </xdr:pic>
    <xdr:clientData/>
  </xdr:twoCellAnchor>
  <xdr:twoCellAnchor editAs="oneCell">
    <xdr:from>
      <xdr:col>10</xdr:col>
      <xdr:colOff>0</xdr:colOff>
      <xdr:row>4</xdr:row>
      <xdr:rowOff>0</xdr:rowOff>
    </xdr:from>
    <xdr:to>
      <xdr:col>10</xdr:col>
      <xdr:colOff>9525</xdr:colOff>
      <xdr:row>4</xdr:row>
      <xdr:rowOff>9525</xdr:rowOff>
    </xdr:to>
    <xdr:pic>
      <xdr:nvPicPr>
        <xdr:cNvPr id="53" name="Picture 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381000"/>
          <a:ext cx="9525" cy="9525"/>
        </a:xfrm>
        <a:prstGeom prst="rect">
          <a:avLst/>
        </a:prstGeom>
        <a:noFill/>
      </xdr:spPr>
    </xdr:pic>
    <xdr:clientData/>
  </xdr:twoCellAnchor>
  <xdr:twoCellAnchor editAs="oneCell">
    <xdr:from>
      <xdr:col>9</xdr:col>
      <xdr:colOff>0</xdr:colOff>
      <xdr:row>4</xdr:row>
      <xdr:rowOff>0</xdr:rowOff>
    </xdr:from>
    <xdr:to>
      <xdr:col>9</xdr:col>
      <xdr:colOff>9525</xdr:colOff>
      <xdr:row>4</xdr:row>
      <xdr:rowOff>9525</xdr:rowOff>
    </xdr:to>
    <xdr:pic>
      <xdr:nvPicPr>
        <xdr:cNvPr id="54" name="Picture 2"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3286125" y="381000"/>
          <a:ext cx="9525" cy="9525"/>
        </a:xfrm>
        <a:prstGeom prst="rect">
          <a:avLst/>
        </a:prstGeom>
        <a:noFill/>
      </xdr:spPr>
    </xdr:pic>
    <xdr:clientData/>
  </xdr:twoCellAnchor>
  <xdr:twoCellAnchor editAs="oneCell">
    <xdr:from>
      <xdr:col>12</xdr:col>
      <xdr:colOff>0</xdr:colOff>
      <xdr:row>4</xdr:row>
      <xdr:rowOff>0</xdr:rowOff>
    </xdr:from>
    <xdr:to>
      <xdr:col>12</xdr:col>
      <xdr:colOff>9525</xdr:colOff>
      <xdr:row>4</xdr:row>
      <xdr:rowOff>9525</xdr:rowOff>
    </xdr:to>
    <xdr:pic>
      <xdr:nvPicPr>
        <xdr:cNvPr id="56" name="Picture 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4057650" y="762000"/>
          <a:ext cx="9525" cy="9525"/>
        </a:xfrm>
        <a:prstGeom prst="rect">
          <a:avLst/>
        </a:prstGeom>
        <a:noFill/>
      </xdr:spPr>
    </xdr:pic>
    <xdr:clientData/>
  </xdr:twoCellAnchor>
  <xdr:twoCellAnchor editAs="oneCell">
    <xdr:from>
      <xdr:col>11</xdr:col>
      <xdr:colOff>0</xdr:colOff>
      <xdr:row>4</xdr:row>
      <xdr:rowOff>0</xdr:rowOff>
    </xdr:from>
    <xdr:to>
      <xdr:col>11</xdr:col>
      <xdr:colOff>9525</xdr:colOff>
      <xdr:row>4</xdr:row>
      <xdr:rowOff>9525</xdr:rowOff>
    </xdr:to>
    <xdr:pic>
      <xdr:nvPicPr>
        <xdr:cNvPr id="57" name="Picture 2"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3286125" y="762000"/>
          <a:ext cx="9525" cy="9525"/>
        </a:xfrm>
        <a:prstGeom prst="rect">
          <a:avLst/>
        </a:prstGeom>
        <a:noFill/>
      </xdr:spPr>
    </xdr:pic>
    <xdr:clientData/>
  </xdr:twoCellAnchor>
  <xdr:twoCellAnchor editAs="oneCell">
    <xdr:from>
      <xdr:col>10</xdr:col>
      <xdr:colOff>0</xdr:colOff>
      <xdr:row>4</xdr:row>
      <xdr:rowOff>0</xdr:rowOff>
    </xdr:from>
    <xdr:to>
      <xdr:col>10</xdr:col>
      <xdr:colOff>9525</xdr:colOff>
      <xdr:row>4</xdr:row>
      <xdr:rowOff>9525</xdr:rowOff>
    </xdr:to>
    <xdr:pic>
      <xdr:nvPicPr>
        <xdr:cNvPr id="58" name="Picture 3"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762000"/>
          <a:ext cx="9525" cy="9525"/>
        </a:xfrm>
        <a:prstGeom prst="rect">
          <a:avLst/>
        </a:prstGeom>
        <a:noFill/>
      </xdr:spPr>
    </xdr:pic>
    <xdr:clientData/>
  </xdr:twoCellAnchor>
  <xdr:twoCellAnchor editAs="oneCell">
    <xdr:from>
      <xdr:col>9</xdr:col>
      <xdr:colOff>0</xdr:colOff>
      <xdr:row>4</xdr:row>
      <xdr:rowOff>0</xdr:rowOff>
    </xdr:from>
    <xdr:to>
      <xdr:col>9</xdr:col>
      <xdr:colOff>9525</xdr:colOff>
      <xdr:row>4</xdr:row>
      <xdr:rowOff>9525</xdr:rowOff>
    </xdr:to>
    <xdr:pic>
      <xdr:nvPicPr>
        <xdr:cNvPr id="59" name="Picture 4"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1743075" y="762000"/>
          <a:ext cx="9525" cy="9525"/>
        </a:xfrm>
        <a:prstGeom prst="rect">
          <a:avLst/>
        </a:prstGeom>
        <a:noFill/>
      </xdr:spPr>
    </xdr:pic>
    <xdr:clientData/>
  </xdr:twoCellAnchor>
  <xdr:twoCellAnchor editAs="oneCell">
    <xdr:from>
      <xdr:col>10</xdr:col>
      <xdr:colOff>0</xdr:colOff>
      <xdr:row>4</xdr:row>
      <xdr:rowOff>0</xdr:rowOff>
    </xdr:from>
    <xdr:to>
      <xdr:col>10</xdr:col>
      <xdr:colOff>9525</xdr:colOff>
      <xdr:row>4</xdr:row>
      <xdr:rowOff>9525</xdr:rowOff>
    </xdr:to>
    <xdr:pic>
      <xdr:nvPicPr>
        <xdr:cNvPr id="60" name="Picture 1"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2514600" y="2286000"/>
          <a:ext cx="9525" cy="9525"/>
        </a:xfrm>
        <a:prstGeom prst="rect">
          <a:avLst/>
        </a:prstGeom>
        <a:noFill/>
      </xdr:spPr>
    </xdr:pic>
    <xdr:clientData/>
  </xdr:twoCellAnchor>
  <xdr:twoCellAnchor editAs="oneCell">
    <xdr:from>
      <xdr:col>9</xdr:col>
      <xdr:colOff>0</xdr:colOff>
      <xdr:row>4</xdr:row>
      <xdr:rowOff>0</xdr:rowOff>
    </xdr:from>
    <xdr:to>
      <xdr:col>9</xdr:col>
      <xdr:colOff>9525</xdr:colOff>
      <xdr:row>4</xdr:row>
      <xdr:rowOff>9525</xdr:rowOff>
    </xdr:to>
    <xdr:pic>
      <xdr:nvPicPr>
        <xdr:cNvPr id="61" name="Picture 2" descr="http://m1.smartmoney.net/shared/images/spacer.gif"/>
        <xdr:cNvPicPr>
          <a:picLocks noChangeAspect="1" noChangeArrowheads="1"/>
        </xdr:cNvPicPr>
      </xdr:nvPicPr>
      <xdr:blipFill>
        <a:blip xmlns:r="http://schemas.openxmlformats.org/officeDocument/2006/relationships" r:embed="rId1"/>
        <a:srcRect/>
        <a:stretch>
          <a:fillRect/>
        </a:stretch>
      </xdr:blipFill>
      <xdr:spPr bwMode="auto">
        <a:xfrm>
          <a:off x="1743075" y="2286000"/>
          <a:ext cx="9525" cy="9525"/>
        </a:xfrm>
        <a:prstGeom prst="rect">
          <a:avLst/>
        </a:prstGeom>
        <a:noFill/>
      </xdr:spPr>
    </xdr:pic>
    <xdr:clientData/>
  </xdr:twoCellAnchor>
  <xdr:twoCellAnchor>
    <xdr:from>
      <xdr:col>5</xdr:col>
      <xdr:colOff>457200</xdr:colOff>
      <xdr:row>12</xdr:row>
      <xdr:rowOff>95249</xdr:rowOff>
    </xdr:from>
    <xdr:to>
      <xdr:col>15</xdr:col>
      <xdr:colOff>571500</xdr:colOff>
      <xdr:row>16</xdr:row>
      <xdr:rowOff>123824</xdr:rowOff>
    </xdr:to>
    <xdr:sp macro="" textlink="">
      <xdr:nvSpPr>
        <xdr:cNvPr id="62" name="TextBox 61"/>
        <xdr:cNvSpPr txBox="1"/>
      </xdr:nvSpPr>
      <xdr:spPr>
        <a:xfrm>
          <a:off x="5295900" y="2333624"/>
          <a:ext cx="63246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I</a:t>
          </a:r>
          <a:r>
            <a:rPr lang="en-US" sz="1100" baseline="0"/>
            <a:t> suggest that this input asumption be ramped down considerably.  The figures here on the top five is interesting but I don't think they are a representative sample of the industry as a whole.  We might just delete this slide entirely and have the "medium" input assumption be the 2% CAGR in the previous slide.  See also Part II Page 13 of the presentation.</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888998</xdr:colOff>
      <xdr:row>5</xdr:row>
      <xdr:rowOff>10583</xdr:rowOff>
    </xdr:from>
    <xdr:to>
      <xdr:col>8</xdr:col>
      <xdr:colOff>560915</xdr:colOff>
      <xdr:row>16</xdr:row>
      <xdr:rowOff>21166</xdr:rowOff>
    </xdr:to>
    <xdr:sp macro="" textlink="">
      <xdr:nvSpPr>
        <xdr:cNvPr id="2" name="TextBox 1"/>
        <xdr:cNvSpPr txBox="1"/>
      </xdr:nvSpPr>
      <xdr:spPr>
        <a:xfrm>
          <a:off x="8784165" y="952500"/>
          <a:ext cx="3767667" cy="2106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a:t>
          </a:r>
          <a:r>
            <a:rPr lang="en-US" sz="1100" baseline="0"/>
            <a:t> Please double check my math and logic here on benefits.  I'm pretty sure it's correct but would definitely like a second set of eyes.</a:t>
          </a:r>
        </a:p>
        <a:p>
          <a:endParaRPr lang="en-US" sz="1100" baseline="0"/>
        </a:p>
        <a:p>
          <a:r>
            <a:rPr lang="en-US" sz="1100" baseline="0"/>
            <a:t>A higher ROI of course will justify the market penetration assumptions that follow -- an important internal check and supporting argument.</a:t>
          </a:r>
        </a:p>
        <a:p>
          <a:endParaRPr lang="en-US" sz="1100" baseline="0"/>
        </a:p>
        <a:p>
          <a:r>
            <a:rPr lang="en-US" sz="1100" baseline="0"/>
            <a:t>If the math and the inputs are correct then the service to Category I facilities may be overpriced.  Companies many not be motivated to make a switch for this return on investment.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412750</xdr:colOff>
      <xdr:row>12</xdr:row>
      <xdr:rowOff>10582</xdr:rowOff>
    </xdr:from>
    <xdr:to>
      <xdr:col>20</xdr:col>
      <xdr:colOff>95250</xdr:colOff>
      <xdr:row>27</xdr:row>
      <xdr:rowOff>0</xdr:rowOff>
    </xdr:to>
    <xdr:sp macro="" textlink="">
      <xdr:nvSpPr>
        <xdr:cNvPr id="2" name="TextBox 1"/>
        <xdr:cNvSpPr txBox="1"/>
      </xdr:nvSpPr>
      <xdr:spPr>
        <a:xfrm>
          <a:off x="8540750" y="2190749"/>
          <a:ext cx="5207000" cy="2688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a:t>
          </a:r>
        </a:p>
        <a:p>
          <a:endParaRPr lang="en-US" sz="1100"/>
        </a:p>
        <a:p>
          <a:r>
            <a:rPr lang="en-US" sz="1100"/>
            <a:t>2011</a:t>
          </a:r>
          <a:r>
            <a:rPr lang="en-US" sz="1100" baseline="0"/>
            <a:t> assumptions are given from TQ.  Note that revenue assumptions between 2012 and 2020 are percentage increases, not percentages themselves.</a:t>
          </a:r>
        </a:p>
        <a:p>
          <a:endParaRPr lang="en-US" sz="1100" baseline="0"/>
        </a:p>
        <a:p>
          <a:r>
            <a:rPr lang="en-US" sz="1100" baseline="0">
              <a:solidFill>
                <a:schemeClr val="dk1"/>
              </a:solidFill>
              <a:latin typeface="+mn-lt"/>
              <a:ea typeface="+mn-ea"/>
              <a:cs typeface="+mn-cs"/>
            </a:rPr>
            <a:t>It is too detailed to incorporate revenue input assumptions by year.  This method allows you to break up the 10 years in four parts.</a:t>
          </a:r>
          <a:endParaRPr lang="en-US" sz="1100" baseline="0"/>
        </a:p>
        <a:p>
          <a:endParaRPr lang="en-US" sz="1100" baseline="0"/>
        </a:p>
        <a:p>
          <a:r>
            <a:rPr lang="en-US" sz="1100" baseline="0"/>
            <a:t>Subsequent  year increases are artificial, given here to show the functioning of the model only.    (4% for 2012-4, 5% for 2015-7, 6% for 2018-20.)</a:t>
          </a:r>
        </a:p>
        <a:p>
          <a:endParaRPr lang="en-US" sz="1100" baseline="0"/>
        </a:p>
        <a:p>
          <a:r>
            <a:rPr lang="en-US" sz="1100" baseline="0"/>
            <a:t>Changes can be made to these assumptions by product and by year.</a:t>
          </a:r>
        </a:p>
        <a:p>
          <a:endParaRPr lang="en-US" sz="1100" baseline="0"/>
        </a:p>
        <a:p>
          <a:r>
            <a:rPr lang="en-US" sz="1100" baseline="0"/>
            <a:t>TQ should experiment with the figures in these assumptions and evaluate results.   </a:t>
          </a:r>
          <a:r>
            <a:rPr lang="en-US" sz="1100" b="0" baseline="0"/>
            <a:t>The model is sensitive to the assumptions in this sheet.</a:t>
          </a:r>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762000</xdr:colOff>
      <xdr:row>1</xdr:row>
      <xdr:rowOff>0</xdr:rowOff>
    </xdr:from>
    <xdr:to>
      <xdr:col>14</xdr:col>
      <xdr:colOff>285750</xdr:colOff>
      <xdr:row>5</xdr:row>
      <xdr:rowOff>52917</xdr:rowOff>
    </xdr:to>
    <xdr:sp macro="" textlink="">
      <xdr:nvSpPr>
        <xdr:cNvPr id="3" name="TextBox 2"/>
        <xdr:cNvSpPr txBox="1"/>
      </xdr:nvSpPr>
      <xdr:spPr>
        <a:xfrm>
          <a:off x="5640917" y="190500"/>
          <a:ext cx="6921500" cy="814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The denominator in</a:t>
          </a:r>
          <a:r>
            <a:rPr lang="en-US" sz="1100" baseline="0"/>
            <a:t> these equations is different from the other slides since it take into account the number of products  available for each category of facilities.  I assumed 7 products for Category I (including IBA) and 3 for Category III.  The market penetration rates would look different if the denominator would be 100K (the number of facilities) instead of 400K (the number of products).</a:t>
          </a:r>
          <a:endParaRPr lang="en-US" sz="1100"/>
        </a:p>
      </xdr:txBody>
    </xdr:sp>
    <xdr:clientData/>
  </xdr:twoCellAnchor>
  <xdr:twoCellAnchor>
    <xdr:from>
      <xdr:col>0</xdr:col>
      <xdr:colOff>52917</xdr:colOff>
      <xdr:row>37</xdr:row>
      <xdr:rowOff>21167</xdr:rowOff>
    </xdr:from>
    <xdr:to>
      <xdr:col>3</xdr:col>
      <xdr:colOff>0</xdr:colOff>
      <xdr:row>51</xdr:row>
      <xdr:rowOff>84667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42334</xdr:colOff>
      <xdr:row>39</xdr:row>
      <xdr:rowOff>148166</xdr:rowOff>
    </xdr:from>
    <xdr:to>
      <xdr:col>7</xdr:col>
      <xdr:colOff>306917</xdr:colOff>
      <xdr:row>46</xdr:row>
      <xdr:rowOff>116416</xdr:rowOff>
    </xdr:to>
    <xdr:sp macro="" textlink="">
      <xdr:nvSpPr>
        <xdr:cNvPr id="6" name="TextBox 5"/>
        <xdr:cNvSpPr txBox="1"/>
      </xdr:nvSpPr>
      <xdr:spPr>
        <a:xfrm>
          <a:off x="4921251" y="7577666"/>
          <a:ext cx="2645833"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graphs that</a:t>
          </a:r>
          <a:r>
            <a:rPr lang="en-US" sz="1100" baseline="0"/>
            <a:t> look like this can reasonably be interpreted as too good to be true.  You really need a knock out qualitative argument about "game changing" paradigms to justify results that look like this. </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211666</xdr:colOff>
      <xdr:row>8</xdr:row>
      <xdr:rowOff>10583</xdr:rowOff>
    </xdr:from>
    <xdr:to>
      <xdr:col>16</xdr:col>
      <xdr:colOff>222250</xdr:colOff>
      <xdr:row>18</xdr:row>
      <xdr:rowOff>21167</xdr:rowOff>
    </xdr:to>
    <xdr:sp macro="" textlink="">
      <xdr:nvSpPr>
        <xdr:cNvPr id="2" name="TextBox 1"/>
        <xdr:cNvSpPr txBox="1"/>
      </xdr:nvSpPr>
      <xdr:spPr>
        <a:xfrm>
          <a:off x="10519833" y="1534583"/>
          <a:ext cx="3079750" cy="1915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 the last version</a:t>
          </a:r>
          <a:r>
            <a:rPr lang="en-US" sz="1100" baseline="0"/>
            <a:t> of the model only accounted for only the most recent year's annual fees for any given year.  Fixing this  error results in </a:t>
          </a:r>
          <a:r>
            <a:rPr lang="en-US" sz="1100" u="sng" baseline="0"/>
            <a:t>significantly</a:t>
          </a:r>
          <a:r>
            <a:rPr lang="en-US" sz="1100" baseline="0"/>
            <a:t> revenues in the projections.  If we assume that people stay with the program, which is defensible, then the top line jumps.  I did not build in a tab on attrition rates.  It would make sense, I think, if the model were to have even more detail, to incorporate some assumptions about people dropping out of the program as well. </a:t>
          </a:r>
          <a:endParaRPr lang="en-US" sz="1100"/>
        </a:p>
      </xdr:txBody>
    </xdr:sp>
    <xdr:clientData/>
  </xdr:twoCellAnchor>
  <xdr:twoCellAnchor>
    <xdr:from>
      <xdr:col>0</xdr:col>
      <xdr:colOff>42334</xdr:colOff>
      <xdr:row>55</xdr:row>
      <xdr:rowOff>21167</xdr:rowOff>
    </xdr:from>
    <xdr:to>
      <xdr:col>3</xdr:col>
      <xdr:colOff>582083</xdr:colOff>
      <xdr:row>72</xdr:row>
      <xdr:rowOff>148167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529167</xdr:colOff>
      <xdr:row>55</xdr:row>
      <xdr:rowOff>31750</xdr:rowOff>
    </xdr:from>
    <xdr:to>
      <xdr:col>9</xdr:col>
      <xdr:colOff>370417</xdr:colOff>
      <xdr:row>64</xdr:row>
      <xdr:rowOff>52917</xdr:rowOff>
    </xdr:to>
    <xdr:sp macro="" textlink="">
      <xdr:nvSpPr>
        <xdr:cNvPr id="5" name="TextBox 4"/>
        <xdr:cNvSpPr txBox="1"/>
      </xdr:nvSpPr>
      <xdr:spPr>
        <a:xfrm>
          <a:off x="5429250" y="10509250"/>
          <a:ext cx="3704167" cy="1735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 note:</a:t>
          </a:r>
          <a:r>
            <a:rPr lang="en-US" sz="1100" baseline="0"/>
            <a:t> Again, results like this are a businessman's dream.  You might choose to make the market penetration assumptions more conservative to make the outputs more plausible.  It is not an easy thing to do for an acquirer to absorb a target, integrate business operations, overcome cultural differences, and generate $78 million in revenues (22%  of the company's revenues) all in the first year of the acquisition (starting in January).</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613833</xdr:colOff>
      <xdr:row>13</xdr:row>
      <xdr:rowOff>0</xdr:rowOff>
    </xdr:from>
    <xdr:to>
      <xdr:col>16</xdr:col>
      <xdr:colOff>169333</xdr:colOff>
      <xdr:row>22</xdr:row>
      <xdr:rowOff>84667</xdr:rowOff>
    </xdr:to>
    <xdr:sp macro="" textlink="">
      <xdr:nvSpPr>
        <xdr:cNvPr id="2" name="TextBox 1"/>
        <xdr:cNvSpPr txBox="1"/>
      </xdr:nvSpPr>
      <xdr:spPr>
        <a:xfrm>
          <a:off x="8572500" y="2381250"/>
          <a:ext cx="2751666" cy="1799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Legrady</a:t>
          </a:r>
          <a:r>
            <a:rPr lang="en-US" sz="1100" baseline="0"/>
            <a:t> note: I used the same assumption structure for the profitability levels as I did for the revenues.  It makes sense to me that the margins should increase as time goes on.  As you experiment with the model here, bear in mind that a five-year valuation methodology will benefit of course from bigger upfront margins.  I think it all comes back to the ROI for the customer highlighted in the earlier slide.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P15"/>
  <sheetViews>
    <sheetView zoomScaleNormal="100" workbookViewId="0">
      <selection activeCell="L14" sqref="L14"/>
    </sheetView>
  </sheetViews>
  <sheetFormatPr defaultColWidth="9.109375" defaultRowHeight="14.4" x14ac:dyDescent="0.3"/>
  <cols>
    <col min="1" max="11" width="9.109375" style="214"/>
    <col min="12" max="13" width="9.109375" style="214" customWidth="1"/>
    <col min="14" max="16384" width="9.109375" style="214"/>
  </cols>
  <sheetData>
    <row r="1" spans="6:16" ht="17.399999999999999" x14ac:dyDescent="0.3">
      <c r="L1" s="215"/>
    </row>
    <row r="3" spans="6:16" x14ac:dyDescent="0.3">
      <c r="P3" s="374"/>
    </row>
    <row r="6" spans="6:16" ht="31.2" x14ac:dyDescent="0.6">
      <c r="F6" s="378" t="s">
        <v>228</v>
      </c>
      <c r="G6" s="378"/>
      <c r="H6" s="378"/>
      <c r="I6" s="378"/>
      <c r="J6" s="378"/>
      <c r="K6" s="378"/>
      <c r="L6" s="378"/>
    </row>
    <row r="7" spans="6:16" ht="28.8" x14ac:dyDescent="0.55000000000000004">
      <c r="F7" s="379" t="s">
        <v>167</v>
      </c>
      <c r="G7" s="379"/>
      <c r="H7" s="379"/>
      <c r="I7" s="379"/>
      <c r="J7" s="379"/>
      <c r="K7" s="379"/>
      <c r="L7" s="379"/>
    </row>
    <row r="8" spans="6:16" ht="28.8" x14ac:dyDescent="0.55000000000000004">
      <c r="F8" s="379" t="s">
        <v>214</v>
      </c>
      <c r="G8" s="379"/>
      <c r="H8" s="379"/>
      <c r="I8" s="379"/>
      <c r="J8" s="379"/>
      <c r="K8" s="379"/>
      <c r="L8" s="379"/>
    </row>
    <row r="9" spans="6:16" ht="28.8" x14ac:dyDescent="0.55000000000000004">
      <c r="F9" s="379" t="s">
        <v>168</v>
      </c>
      <c r="G9" s="379"/>
      <c r="H9" s="379"/>
      <c r="I9" s="379"/>
      <c r="J9" s="379"/>
      <c r="K9" s="379"/>
      <c r="L9" s="379"/>
    </row>
    <row r="10" spans="6:16" ht="28.8" x14ac:dyDescent="0.55000000000000004">
      <c r="F10" s="379"/>
      <c r="G10" s="379"/>
      <c r="H10" s="379"/>
      <c r="I10" s="379"/>
      <c r="J10" s="379"/>
      <c r="K10" s="379"/>
      <c r="L10" s="379"/>
    </row>
    <row r="11" spans="6:16" ht="28.8" x14ac:dyDescent="0.55000000000000004">
      <c r="F11" s="379"/>
      <c r="G11" s="379"/>
      <c r="H11" s="379"/>
      <c r="I11" s="379"/>
      <c r="J11" s="379"/>
      <c r="K11" s="379"/>
      <c r="L11" s="379"/>
    </row>
    <row r="13" spans="6:16" s="292" customFormat="1" ht="15.6" x14ac:dyDescent="0.3">
      <c r="F13" s="375">
        <v>40878</v>
      </c>
      <c r="G13" s="376"/>
      <c r="H13" s="376"/>
      <c r="I13" s="376"/>
      <c r="J13" s="376"/>
      <c r="K13" s="376"/>
      <c r="L13" s="376"/>
      <c r="P13" s="214"/>
    </row>
    <row r="14" spans="6:16" s="289" customFormat="1" x14ac:dyDescent="0.3">
      <c r="F14" s="290"/>
      <c r="G14" s="291"/>
      <c r="H14" s="291"/>
      <c r="I14" s="291"/>
      <c r="J14" s="291"/>
      <c r="K14" s="291"/>
      <c r="L14" s="291"/>
      <c r="P14" s="214"/>
    </row>
    <row r="15" spans="6:16" x14ac:dyDescent="0.3">
      <c r="F15" s="377" t="s">
        <v>379</v>
      </c>
      <c r="G15" s="377"/>
      <c r="H15" s="377"/>
      <c r="I15" s="377"/>
      <c r="J15" s="377"/>
      <c r="K15" s="377"/>
      <c r="L15" s="377"/>
    </row>
  </sheetData>
  <mergeCells count="8">
    <mergeCell ref="F13:L13"/>
    <mergeCell ref="F15:L15"/>
    <mergeCell ref="F6:L6"/>
    <mergeCell ref="F7:L7"/>
    <mergeCell ref="F8:L8"/>
    <mergeCell ref="F9:L9"/>
    <mergeCell ref="F10:L10"/>
    <mergeCell ref="F11:L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T39"/>
  <sheetViews>
    <sheetView zoomScale="90" zoomScaleNormal="90" workbookViewId="0">
      <selection activeCell="G3" sqref="G3:J3"/>
    </sheetView>
  </sheetViews>
  <sheetFormatPr defaultRowHeight="14.4" x14ac:dyDescent="0.3"/>
  <cols>
    <col min="1" max="1" width="29.88671875" customWidth="1"/>
    <col min="2" max="20" width="9.109375" customWidth="1"/>
  </cols>
  <sheetData>
    <row r="1" spans="1:20" x14ac:dyDescent="0.3">
      <c r="A1" s="1" t="s">
        <v>86</v>
      </c>
      <c r="B1" s="59" t="s">
        <v>59</v>
      </c>
    </row>
    <row r="3" spans="1:20" ht="14.25" customHeight="1" x14ac:dyDescent="0.3">
      <c r="A3" s="1" t="s">
        <v>85</v>
      </c>
      <c r="B3" s="386" t="s">
        <v>148</v>
      </c>
      <c r="C3" s="387"/>
      <c r="D3" s="387"/>
      <c r="E3" s="388"/>
      <c r="G3" s="386" t="s">
        <v>87</v>
      </c>
      <c r="H3" s="387"/>
      <c r="I3" s="387"/>
      <c r="J3" s="388"/>
      <c r="L3" s="386" t="s">
        <v>88</v>
      </c>
      <c r="M3" s="387"/>
      <c r="N3" s="387"/>
      <c r="O3" s="388"/>
      <c r="Q3" s="386" t="s">
        <v>89</v>
      </c>
      <c r="R3" s="387"/>
      <c r="S3" s="387"/>
      <c r="T3" s="388"/>
    </row>
    <row r="4" spans="1:20" ht="14.25" customHeight="1" x14ac:dyDescent="0.3">
      <c r="B4" s="74" t="s">
        <v>63</v>
      </c>
      <c r="C4" s="75" t="s">
        <v>64</v>
      </c>
      <c r="D4" s="76" t="s">
        <v>65</v>
      </c>
      <c r="E4" s="66" t="s">
        <v>66</v>
      </c>
      <c r="G4" s="74" t="s">
        <v>63</v>
      </c>
      <c r="H4" s="75" t="s">
        <v>64</v>
      </c>
      <c r="I4" s="76" t="s">
        <v>65</v>
      </c>
      <c r="J4" s="66" t="s">
        <v>66</v>
      </c>
      <c r="L4" s="74" t="s">
        <v>63</v>
      </c>
      <c r="M4" s="75" t="s">
        <v>64</v>
      </c>
      <c r="N4" s="76" t="s">
        <v>65</v>
      </c>
      <c r="O4" s="66" t="s">
        <v>66</v>
      </c>
      <c r="Q4" s="74" t="s">
        <v>63</v>
      </c>
      <c r="R4" s="116" t="s">
        <v>64</v>
      </c>
      <c r="S4" s="76" t="s">
        <v>65</v>
      </c>
      <c r="T4" s="66" t="s">
        <v>66</v>
      </c>
    </row>
    <row r="5" spans="1:20" ht="14.25" customHeight="1" x14ac:dyDescent="0.3">
      <c r="A5" s="41" t="s">
        <v>32</v>
      </c>
      <c r="B5" s="111">
        <f>C5*(1+Foreward!$AA$12)</f>
        <v>1.1999999999999999E-3</v>
      </c>
      <c r="C5" s="107">
        <v>1E-3</v>
      </c>
      <c r="D5" s="110">
        <f>C5*(1-Foreward!$AA$13)</f>
        <v>8.4999999999999995E-4</v>
      </c>
      <c r="E5" s="117">
        <v>1E-3</v>
      </c>
      <c r="F5" s="2"/>
      <c r="G5" s="111">
        <f>H5*(1+Foreward!$AA$12)</f>
        <v>4.8000000000000001E-2</v>
      </c>
      <c r="H5" s="114">
        <v>0.04</v>
      </c>
      <c r="I5" s="110">
        <f>H5*(1-Foreward!$AA$13)</f>
        <v>3.4000000000000002E-2</v>
      </c>
      <c r="J5" s="122">
        <v>0.04</v>
      </c>
      <c r="K5" s="2"/>
      <c r="L5" s="111">
        <f>M5*(1+Foreward!$AA$12)</f>
        <v>0.06</v>
      </c>
      <c r="M5" s="114">
        <v>0.05</v>
      </c>
      <c r="N5" s="110">
        <f>M5*(1-Foreward!$AA$13)</f>
        <v>4.2500000000000003E-2</v>
      </c>
      <c r="O5" s="122">
        <v>0.05</v>
      </c>
      <c r="P5" s="2"/>
      <c r="Q5" s="112">
        <f>R5*(1+Foreward!$AA$12)</f>
        <v>7.1999999999999995E-2</v>
      </c>
      <c r="R5" s="120">
        <v>0.06</v>
      </c>
      <c r="S5" s="121">
        <f>R5*(1-Foreward!$AA$13)</f>
        <v>5.0999999999999997E-2</v>
      </c>
      <c r="T5" s="122">
        <v>0.06</v>
      </c>
    </row>
    <row r="6" spans="1:20" ht="14.25" customHeight="1" x14ac:dyDescent="0.3">
      <c r="A6" s="41" t="s">
        <v>41</v>
      </c>
      <c r="B6" s="112">
        <f>C6*(1+Foreward!$AA$12)</f>
        <v>1.2E-2</v>
      </c>
      <c r="C6" s="108">
        <v>0.01</v>
      </c>
      <c r="D6" s="110">
        <f>C6*(1-Foreward!$AA$13)</f>
        <v>8.5000000000000006E-3</v>
      </c>
      <c r="E6" s="118">
        <v>0.01</v>
      </c>
      <c r="F6" s="2"/>
      <c r="G6" s="112">
        <f>H6*(1+Foreward!$AA$12)</f>
        <v>4.8000000000000001E-2</v>
      </c>
      <c r="H6" s="108">
        <v>0.04</v>
      </c>
      <c r="I6" s="110">
        <f>H6*(1-Foreward!$AA$13)</f>
        <v>3.4000000000000002E-2</v>
      </c>
      <c r="J6" s="118">
        <v>0.04</v>
      </c>
      <c r="K6" s="2"/>
      <c r="L6" s="112">
        <f>M6*(1+Foreward!$AA$12)</f>
        <v>0.06</v>
      </c>
      <c r="M6" s="108">
        <v>0.05</v>
      </c>
      <c r="N6" s="110">
        <f>M6*(1-Foreward!$AA$13)</f>
        <v>4.2500000000000003E-2</v>
      </c>
      <c r="O6" s="118">
        <v>0.05</v>
      </c>
      <c r="P6" s="2"/>
      <c r="Q6" s="112">
        <f>R6*(1+Foreward!$AA$12)</f>
        <v>7.1999999999999995E-2</v>
      </c>
      <c r="R6" s="114">
        <v>0.06</v>
      </c>
      <c r="S6" s="110">
        <f>R6*(1-Foreward!$AA$13)</f>
        <v>5.0999999999999997E-2</v>
      </c>
      <c r="T6" s="118">
        <v>0.06</v>
      </c>
    </row>
    <row r="7" spans="1:20" ht="14.25" customHeight="1" x14ac:dyDescent="0.3">
      <c r="A7" s="41" t="s">
        <v>366</v>
      </c>
      <c r="B7" s="112">
        <f>C7*(1+Foreward!$AA$12)</f>
        <v>3.5999999999999997E-2</v>
      </c>
      <c r="C7" s="108">
        <v>0.03</v>
      </c>
      <c r="D7" s="110">
        <f>C7*(1-Foreward!$AA$13)</f>
        <v>2.5499999999999998E-2</v>
      </c>
      <c r="E7" s="118">
        <v>0.03</v>
      </c>
      <c r="F7" s="2"/>
      <c r="G7" s="112">
        <f>H7*(1+Foreward!$AA$12)</f>
        <v>4.8000000000000001E-2</v>
      </c>
      <c r="H7" s="108">
        <v>0.04</v>
      </c>
      <c r="I7" s="110">
        <f>H7*(1-Foreward!$AA$13)</f>
        <v>3.4000000000000002E-2</v>
      </c>
      <c r="J7" s="118">
        <v>0.04</v>
      </c>
      <c r="K7" s="2"/>
      <c r="L7" s="112">
        <f>M7*(1+Foreward!$AA$12)</f>
        <v>0.06</v>
      </c>
      <c r="M7" s="108">
        <v>0.05</v>
      </c>
      <c r="N7" s="110">
        <f>M7*(1-Foreward!$AA$13)</f>
        <v>4.2500000000000003E-2</v>
      </c>
      <c r="O7" s="118">
        <v>0.05</v>
      </c>
      <c r="P7" s="2"/>
      <c r="Q7" s="112">
        <f>R7*(1+Foreward!$AA$12)</f>
        <v>7.1999999999999995E-2</v>
      </c>
      <c r="R7" s="108">
        <v>0.06</v>
      </c>
      <c r="S7" s="110">
        <f>R7*(1-Foreward!$AA$13)</f>
        <v>5.0999999999999997E-2</v>
      </c>
      <c r="T7" s="118">
        <v>0.06</v>
      </c>
    </row>
    <row r="8" spans="1:20" ht="14.25" customHeight="1" x14ac:dyDescent="0.3">
      <c r="A8" s="41" t="s">
        <v>43</v>
      </c>
      <c r="B8" s="112">
        <f>C8*(1+Foreward!$AA$12)</f>
        <v>3.5999999999999997E-2</v>
      </c>
      <c r="C8" s="108">
        <v>0.03</v>
      </c>
      <c r="D8" s="110">
        <f>C8*(1-Foreward!$AA$13)</f>
        <v>2.5499999999999998E-2</v>
      </c>
      <c r="E8" s="118">
        <v>0.03</v>
      </c>
      <c r="F8" s="2"/>
      <c r="G8" s="112">
        <f>H8*(1+Foreward!$AA$12)</f>
        <v>4.8000000000000001E-2</v>
      </c>
      <c r="H8" s="108">
        <v>0.04</v>
      </c>
      <c r="I8" s="110">
        <f>H8*(1-Foreward!$AA$13)</f>
        <v>3.4000000000000002E-2</v>
      </c>
      <c r="J8" s="118">
        <v>0.04</v>
      </c>
      <c r="K8" s="2"/>
      <c r="L8" s="112">
        <f>M8*(1+Foreward!$AA$12)</f>
        <v>0.06</v>
      </c>
      <c r="M8" s="108">
        <v>0.05</v>
      </c>
      <c r="N8" s="110">
        <f>M8*(1-Foreward!$AA$13)</f>
        <v>4.2500000000000003E-2</v>
      </c>
      <c r="O8" s="118">
        <v>0.05</v>
      </c>
      <c r="P8" s="2"/>
      <c r="Q8" s="112">
        <f>R8*(1+Foreward!$AA$12)</f>
        <v>7.1999999999999995E-2</v>
      </c>
      <c r="R8" s="108">
        <v>0.06</v>
      </c>
      <c r="S8" s="110">
        <f>R8*(1-Foreward!$AA$13)</f>
        <v>5.0999999999999997E-2</v>
      </c>
      <c r="T8" s="118">
        <v>0.06</v>
      </c>
    </row>
    <row r="9" spans="1:20" ht="14.25" customHeight="1" x14ac:dyDescent="0.3">
      <c r="A9" s="41" t="s">
        <v>46</v>
      </c>
      <c r="B9" s="112">
        <f>C9*(1+Foreward!$AA$12)</f>
        <v>3.5999999999999997E-2</v>
      </c>
      <c r="C9" s="108">
        <v>0.03</v>
      </c>
      <c r="D9" s="110">
        <f>C9*(1-Foreward!$AA$13)</f>
        <v>2.5499999999999998E-2</v>
      </c>
      <c r="E9" s="118">
        <v>0.03</v>
      </c>
      <c r="F9" s="2"/>
      <c r="G9" s="112">
        <f>H9*(1+Foreward!$AA$12)</f>
        <v>4.8000000000000001E-2</v>
      </c>
      <c r="H9" s="108">
        <v>0.04</v>
      </c>
      <c r="I9" s="110">
        <f>H9*(1-Foreward!$AA$13)</f>
        <v>3.4000000000000002E-2</v>
      </c>
      <c r="J9" s="118">
        <v>0.04</v>
      </c>
      <c r="K9" s="2"/>
      <c r="L9" s="112">
        <f>M9*(1+Foreward!$AA$12)</f>
        <v>0.06</v>
      </c>
      <c r="M9" s="108">
        <v>0.05</v>
      </c>
      <c r="N9" s="110">
        <f>M9*(1-Foreward!$AA$13)</f>
        <v>4.2500000000000003E-2</v>
      </c>
      <c r="O9" s="118">
        <v>0.05</v>
      </c>
      <c r="P9" s="2"/>
      <c r="Q9" s="112">
        <f>R9*(1+Foreward!$AA$12)</f>
        <v>7.1999999999999995E-2</v>
      </c>
      <c r="R9" s="108">
        <v>0.06</v>
      </c>
      <c r="S9" s="110">
        <f>R9*(1-Foreward!$AA$13)</f>
        <v>5.0999999999999997E-2</v>
      </c>
      <c r="T9" s="118">
        <v>0.06</v>
      </c>
    </row>
    <row r="10" spans="1:20" ht="14.25" customHeight="1" x14ac:dyDescent="0.3">
      <c r="A10" s="41" t="s">
        <v>44</v>
      </c>
      <c r="B10" s="112">
        <f>C10*(1+Foreward!$AA$12)</f>
        <v>1.2E-2</v>
      </c>
      <c r="C10" s="108">
        <v>0.01</v>
      </c>
      <c r="D10" s="110">
        <f>C10*(1-Foreward!$AA$13)</f>
        <v>8.5000000000000006E-3</v>
      </c>
      <c r="E10" s="118">
        <v>0.01</v>
      </c>
      <c r="F10" s="2"/>
      <c r="G10" s="112">
        <f>H10*(1+Foreward!$AA$12)</f>
        <v>4.8000000000000001E-2</v>
      </c>
      <c r="H10" s="108">
        <v>0.04</v>
      </c>
      <c r="I10" s="110">
        <f>H10*(1-Foreward!$AA$13)</f>
        <v>3.4000000000000002E-2</v>
      </c>
      <c r="J10" s="118">
        <v>0.04</v>
      </c>
      <c r="K10" s="2"/>
      <c r="L10" s="112">
        <f>M10*(1+Foreward!$AA$12)</f>
        <v>0.06</v>
      </c>
      <c r="M10" s="108">
        <v>0.05</v>
      </c>
      <c r="N10" s="110">
        <f>M10*(1-Foreward!$AA$13)</f>
        <v>4.2500000000000003E-2</v>
      </c>
      <c r="O10" s="118">
        <v>0.05</v>
      </c>
      <c r="P10" s="2"/>
      <c r="Q10" s="112">
        <f>R10*(1+Foreward!$AA$12)</f>
        <v>7.1999999999999995E-2</v>
      </c>
      <c r="R10" s="108">
        <v>0.06</v>
      </c>
      <c r="S10" s="110">
        <f>R10*(1-Foreward!$AA$13)</f>
        <v>5.0999999999999997E-2</v>
      </c>
      <c r="T10" s="118">
        <v>0.06</v>
      </c>
    </row>
    <row r="11" spans="1:20" ht="14.25" customHeight="1" x14ac:dyDescent="0.3">
      <c r="A11" s="41" t="s">
        <v>45</v>
      </c>
      <c r="B11" s="113">
        <f>C11*(1+Foreward!$AA$12)</f>
        <v>1.2E-2</v>
      </c>
      <c r="C11" s="109">
        <v>0.01</v>
      </c>
      <c r="D11" s="115">
        <f>C11*(1-Foreward!$AA$13)</f>
        <v>8.5000000000000006E-3</v>
      </c>
      <c r="E11" s="119">
        <v>0.01</v>
      </c>
      <c r="F11" s="2"/>
      <c r="G11" s="113">
        <f>H11*(1+Foreward!$AA$12)</f>
        <v>4.8000000000000001E-2</v>
      </c>
      <c r="H11" s="109">
        <v>0.04</v>
      </c>
      <c r="I11" s="115">
        <f>H11*(1-Foreward!$AA$13)</f>
        <v>3.4000000000000002E-2</v>
      </c>
      <c r="J11" s="119">
        <v>0.04</v>
      </c>
      <c r="K11" s="2"/>
      <c r="L11" s="113">
        <f>M11*(1+Foreward!$AA$12)</f>
        <v>0.06</v>
      </c>
      <c r="M11" s="109">
        <v>0.05</v>
      </c>
      <c r="N11" s="115">
        <f>M11*(1-Foreward!$AA$13)</f>
        <v>4.2500000000000003E-2</v>
      </c>
      <c r="O11" s="119">
        <v>0.05</v>
      </c>
      <c r="P11" s="2"/>
      <c r="Q11" s="113">
        <f>R11*(1+Foreward!$AA$12)</f>
        <v>7.1999999999999995E-2</v>
      </c>
      <c r="R11" s="109">
        <v>0.06</v>
      </c>
      <c r="S11" s="115">
        <f>R11*(1-Foreward!$AA$13)</f>
        <v>5.0999999999999997E-2</v>
      </c>
      <c r="T11" s="119">
        <v>0.06</v>
      </c>
    </row>
    <row r="12" spans="1:20" ht="14.25" customHeight="1" x14ac:dyDescent="0.3">
      <c r="A12" s="41"/>
      <c r="B12" s="48"/>
      <c r="C12" s="47"/>
      <c r="D12" s="47"/>
    </row>
    <row r="13" spans="1:20" ht="14.25" customHeight="1" x14ac:dyDescent="0.3">
      <c r="A13" s="47" t="s">
        <v>62</v>
      </c>
      <c r="B13" s="27">
        <v>2011</v>
      </c>
      <c r="C13" s="27">
        <v>2012</v>
      </c>
      <c r="D13" s="27">
        <v>2013</v>
      </c>
      <c r="E13" s="27">
        <v>2014</v>
      </c>
      <c r="F13" s="29">
        <v>2015</v>
      </c>
      <c r="G13" s="27">
        <v>2016</v>
      </c>
      <c r="H13" s="29">
        <v>2017</v>
      </c>
      <c r="I13" s="29">
        <v>2018</v>
      </c>
      <c r="J13" s="27">
        <v>2019</v>
      </c>
      <c r="K13" s="29">
        <v>2020</v>
      </c>
    </row>
    <row r="14" spans="1:20" ht="14.25" customHeight="1" x14ac:dyDescent="0.3">
      <c r="A14" s="41" t="s">
        <v>32</v>
      </c>
      <c r="B14" s="127">
        <f>E5</f>
        <v>1E-3</v>
      </c>
      <c r="C14" s="123">
        <f>B14*(1+$J5)</f>
        <v>1.0400000000000001E-3</v>
      </c>
      <c r="D14" s="123">
        <f t="shared" ref="D14:E14" si="0">C14*(1+$J5)</f>
        <v>1.0816000000000003E-3</v>
      </c>
      <c r="E14" s="123">
        <f t="shared" si="0"/>
        <v>1.1248640000000004E-3</v>
      </c>
      <c r="F14" s="123">
        <f>E14*(1+J5)</f>
        <v>1.1698585600000003E-3</v>
      </c>
      <c r="G14" s="123">
        <f t="shared" ref="G14:H20" si="1">F14*(1+K5)</f>
        <v>1.1698585600000003E-3</v>
      </c>
      <c r="H14" s="123">
        <f t="shared" si="1"/>
        <v>1.2400500736000004E-3</v>
      </c>
      <c r="I14" s="123">
        <f>H14*(1+$T5)</f>
        <v>1.3144530780160005E-3</v>
      </c>
      <c r="J14" s="123">
        <f t="shared" ref="J14:K14" si="2">I14*(1+$T5)</f>
        <v>1.3933202626969605E-3</v>
      </c>
      <c r="K14" s="124">
        <f t="shared" si="2"/>
        <v>1.4769194784587782E-3</v>
      </c>
    </row>
    <row r="15" spans="1:20" ht="14.25" customHeight="1" x14ac:dyDescent="0.3">
      <c r="A15" s="41" t="s">
        <v>41</v>
      </c>
      <c r="B15" s="125">
        <f t="shared" ref="B15:B20" si="3">E6</f>
        <v>0.01</v>
      </c>
      <c r="C15" s="336">
        <f t="shared" ref="C15:E20" si="4">B15*(1+$J6)</f>
        <v>1.0400000000000001E-2</v>
      </c>
      <c r="D15" s="336">
        <f t="shared" si="4"/>
        <v>1.0816000000000001E-2</v>
      </c>
      <c r="E15" s="336">
        <f t="shared" si="4"/>
        <v>1.1248640000000001E-2</v>
      </c>
      <c r="F15" s="336">
        <f t="shared" ref="F15:F20" si="5">E15*(1+J6)</f>
        <v>1.1698585600000002E-2</v>
      </c>
      <c r="G15" s="336">
        <f t="shared" si="1"/>
        <v>1.1698585600000002E-2</v>
      </c>
      <c r="H15" s="336">
        <f t="shared" si="1"/>
        <v>1.2400500736000002E-2</v>
      </c>
      <c r="I15" s="336">
        <f t="shared" ref="I15:K20" si="6">H15*(1+$T6)</f>
        <v>1.3144530780160002E-2</v>
      </c>
      <c r="J15" s="336">
        <f t="shared" si="6"/>
        <v>1.3933202626969603E-2</v>
      </c>
      <c r="K15" s="337">
        <f t="shared" si="6"/>
        <v>1.476919478458778E-2</v>
      </c>
    </row>
    <row r="16" spans="1:20" ht="14.25" customHeight="1" x14ac:dyDescent="0.3">
      <c r="A16" s="41" t="s">
        <v>366</v>
      </c>
      <c r="B16" s="125">
        <f t="shared" si="3"/>
        <v>0.03</v>
      </c>
      <c r="C16" s="336">
        <f t="shared" si="4"/>
        <v>3.1199999999999999E-2</v>
      </c>
      <c r="D16" s="336">
        <f t="shared" si="4"/>
        <v>3.2447999999999998E-2</v>
      </c>
      <c r="E16" s="336">
        <f t="shared" si="4"/>
        <v>3.3745919999999999E-2</v>
      </c>
      <c r="F16" s="336">
        <f t="shared" si="5"/>
        <v>3.5095756800000003E-2</v>
      </c>
      <c r="G16" s="336">
        <f t="shared" si="1"/>
        <v>3.5095756800000003E-2</v>
      </c>
      <c r="H16" s="336">
        <f t="shared" si="1"/>
        <v>3.7201502208000004E-2</v>
      </c>
      <c r="I16" s="336">
        <f t="shared" si="6"/>
        <v>3.9433592340480009E-2</v>
      </c>
      <c r="J16" s="336">
        <f t="shared" si="6"/>
        <v>4.1799607880908814E-2</v>
      </c>
      <c r="K16" s="337">
        <f t="shared" si="6"/>
        <v>4.4307584353763342E-2</v>
      </c>
    </row>
    <row r="17" spans="1:12" ht="14.25" customHeight="1" x14ac:dyDescent="0.3">
      <c r="A17" s="41" t="s">
        <v>43</v>
      </c>
      <c r="B17" s="125">
        <f t="shared" si="3"/>
        <v>0.03</v>
      </c>
      <c r="C17" s="336">
        <f t="shared" si="4"/>
        <v>3.1199999999999999E-2</v>
      </c>
      <c r="D17" s="336">
        <f t="shared" si="4"/>
        <v>3.2447999999999998E-2</v>
      </c>
      <c r="E17" s="336">
        <f t="shared" si="4"/>
        <v>3.3745919999999999E-2</v>
      </c>
      <c r="F17" s="336">
        <f t="shared" si="5"/>
        <v>3.5095756800000003E-2</v>
      </c>
      <c r="G17" s="336">
        <f t="shared" si="1"/>
        <v>3.5095756800000003E-2</v>
      </c>
      <c r="H17" s="336">
        <f t="shared" si="1"/>
        <v>3.7201502208000004E-2</v>
      </c>
      <c r="I17" s="336">
        <f t="shared" si="6"/>
        <v>3.9433592340480009E-2</v>
      </c>
      <c r="J17" s="336">
        <f t="shared" si="6"/>
        <v>4.1799607880908814E-2</v>
      </c>
      <c r="K17" s="337">
        <f t="shared" si="6"/>
        <v>4.4307584353763342E-2</v>
      </c>
      <c r="L17" s="40"/>
    </row>
    <row r="18" spans="1:12" ht="14.25" customHeight="1" x14ac:dyDescent="0.3">
      <c r="A18" s="41" t="s">
        <v>46</v>
      </c>
      <c r="B18" s="125">
        <f t="shared" si="3"/>
        <v>0.03</v>
      </c>
      <c r="C18" s="336">
        <f t="shared" si="4"/>
        <v>3.1199999999999999E-2</v>
      </c>
      <c r="D18" s="336">
        <f t="shared" si="4"/>
        <v>3.2447999999999998E-2</v>
      </c>
      <c r="E18" s="336">
        <f t="shared" si="4"/>
        <v>3.3745919999999999E-2</v>
      </c>
      <c r="F18" s="336">
        <f t="shared" si="5"/>
        <v>3.5095756800000003E-2</v>
      </c>
      <c r="G18" s="336">
        <f t="shared" si="1"/>
        <v>3.5095756800000003E-2</v>
      </c>
      <c r="H18" s="336">
        <f t="shared" si="1"/>
        <v>3.7201502208000004E-2</v>
      </c>
      <c r="I18" s="336">
        <f t="shared" si="6"/>
        <v>3.9433592340480009E-2</v>
      </c>
      <c r="J18" s="336">
        <f t="shared" si="6"/>
        <v>4.1799607880908814E-2</v>
      </c>
      <c r="K18" s="337">
        <f t="shared" si="6"/>
        <v>4.4307584353763342E-2</v>
      </c>
      <c r="L18" s="40"/>
    </row>
    <row r="19" spans="1:12" ht="14.25" customHeight="1" x14ac:dyDescent="0.3">
      <c r="A19" s="41" t="s">
        <v>44</v>
      </c>
      <c r="B19" s="125">
        <f t="shared" si="3"/>
        <v>0.01</v>
      </c>
      <c r="C19" s="336">
        <f t="shared" si="4"/>
        <v>1.0400000000000001E-2</v>
      </c>
      <c r="D19" s="336">
        <f t="shared" si="4"/>
        <v>1.0816000000000001E-2</v>
      </c>
      <c r="E19" s="336">
        <f t="shared" si="4"/>
        <v>1.1248640000000001E-2</v>
      </c>
      <c r="F19" s="336">
        <f t="shared" si="5"/>
        <v>1.1698585600000002E-2</v>
      </c>
      <c r="G19" s="336">
        <f t="shared" si="1"/>
        <v>1.1698585600000002E-2</v>
      </c>
      <c r="H19" s="336">
        <f t="shared" si="1"/>
        <v>1.2400500736000002E-2</v>
      </c>
      <c r="I19" s="336">
        <f t="shared" si="6"/>
        <v>1.3144530780160002E-2</v>
      </c>
      <c r="J19" s="336">
        <f t="shared" si="6"/>
        <v>1.3933202626969603E-2</v>
      </c>
      <c r="K19" s="337">
        <f t="shared" si="6"/>
        <v>1.476919478458778E-2</v>
      </c>
      <c r="L19" s="40"/>
    </row>
    <row r="20" spans="1:12" ht="14.25" customHeight="1" x14ac:dyDescent="0.3">
      <c r="A20" s="41" t="s">
        <v>45</v>
      </c>
      <c r="B20" s="126">
        <f t="shared" si="3"/>
        <v>0.01</v>
      </c>
      <c r="C20" s="338">
        <f t="shared" si="4"/>
        <v>1.0400000000000001E-2</v>
      </c>
      <c r="D20" s="338">
        <f t="shared" si="4"/>
        <v>1.0816000000000001E-2</v>
      </c>
      <c r="E20" s="338">
        <f t="shared" si="4"/>
        <v>1.1248640000000001E-2</v>
      </c>
      <c r="F20" s="338">
        <f t="shared" si="5"/>
        <v>1.1698585600000002E-2</v>
      </c>
      <c r="G20" s="338">
        <f t="shared" si="1"/>
        <v>1.1698585600000002E-2</v>
      </c>
      <c r="H20" s="338">
        <f t="shared" si="1"/>
        <v>1.2400500736000002E-2</v>
      </c>
      <c r="I20" s="338">
        <f t="shared" si="6"/>
        <v>1.3144530780160002E-2</v>
      </c>
      <c r="J20" s="338">
        <f t="shared" si="6"/>
        <v>1.3933202626969603E-2</v>
      </c>
      <c r="K20" s="339">
        <f t="shared" si="6"/>
        <v>1.476919478458778E-2</v>
      </c>
      <c r="L20" s="40"/>
    </row>
    <row r="21" spans="1:12" ht="14.25" customHeight="1" x14ac:dyDescent="0.3">
      <c r="B21" s="22"/>
      <c r="C21" s="22"/>
      <c r="D21" s="44"/>
      <c r="E21" s="40"/>
      <c r="F21" s="40"/>
      <c r="G21" s="40"/>
      <c r="H21" s="40"/>
      <c r="I21" s="40"/>
      <c r="J21" s="40"/>
      <c r="K21" s="40"/>
      <c r="L21" s="40"/>
    </row>
    <row r="22" spans="1:12" ht="14.25" customHeight="1" x14ac:dyDescent="0.3">
      <c r="L22" s="40"/>
    </row>
    <row r="23" spans="1:12" ht="14.25" customHeight="1" x14ac:dyDescent="0.3">
      <c r="L23" s="40"/>
    </row>
    <row r="24" spans="1:12" ht="14.25" customHeight="1" x14ac:dyDescent="0.3">
      <c r="L24" s="40"/>
    </row>
    <row r="25" spans="1:12" ht="14.25" customHeight="1" x14ac:dyDescent="0.3">
      <c r="L25" s="40"/>
    </row>
    <row r="26" spans="1:12" ht="14.25" customHeight="1" x14ac:dyDescent="0.3">
      <c r="L26" s="40"/>
    </row>
    <row r="27" spans="1:12" ht="14.25" customHeight="1" x14ac:dyDescent="0.3">
      <c r="L27" s="40"/>
    </row>
    <row r="28" spans="1:12" ht="14.25" customHeight="1" x14ac:dyDescent="0.3">
      <c r="L28" s="40"/>
    </row>
    <row r="29" spans="1:12" ht="14.25" customHeight="1" x14ac:dyDescent="0.3">
      <c r="L29" s="40"/>
    </row>
    <row r="30" spans="1:12" ht="14.25" customHeight="1" x14ac:dyDescent="0.3">
      <c r="L30" s="40"/>
    </row>
    <row r="31" spans="1:12" ht="14.25" customHeight="1" x14ac:dyDescent="0.3">
      <c r="L31" s="40"/>
    </row>
    <row r="32" spans="1:12" ht="14.25" customHeight="1" x14ac:dyDescent="0.3">
      <c r="L32" s="40"/>
    </row>
    <row r="33" spans="12:13" ht="14.25" customHeight="1" x14ac:dyDescent="0.3">
      <c r="L33" s="40"/>
    </row>
    <row r="34" spans="12:13" ht="14.25" customHeight="1" x14ac:dyDescent="0.3">
      <c r="L34" s="40"/>
    </row>
    <row r="35" spans="12:13" ht="14.25" customHeight="1" x14ac:dyDescent="0.3">
      <c r="L35" s="40"/>
      <c r="M35" s="53"/>
    </row>
    <row r="36" spans="12:13" ht="14.25" customHeight="1" x14ac:dyDescent="0.3"/>
    <row r="37" spans="12:13" ht="14.25" customHeight="1" x14ac:dyDescent="0.3"/>
    <row r="38" spans="12:13" ht="14.25" customHeight="1" x14ac:dyDescent="0.3"/>
    <row r="39" spans="12:13" ht="14.25" customHeight="1" x14ac:dyDescent="0.3"/>
  </sheetData>
  <mergeCells count="4">
    <mergeCell ref="B3:E3"/>
    <mergeCell ref="G3:J3"/>
    <mergeCell ref="L3:O3"/>
    <mergeCell ref="Q3:T3"/>
  </mergeCells>
  <hyperlinks>
    <hyperlink ref="B1" location="Index!A1" display="Back to Index"/>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36"/>
  <sheetViews>
    <sheetView topLeftCell="A28" zoomScale="90" zoomScaleNormal="90" workbookViewId="0">
      <selection activeCell="C10" sqref="C10:C20"/>
    </sheetView>
  </sheetViews>
  <sheetFormatPr defaultRowHeight="14.4" x14ac:dyDescent="0.3"/>
  <cols>
    <col min="1" max="1" width="37.44140625" customWidth="1"/>
    <col min="2" max="11" width="11.88671875" customWidth="1"/>
  </cols>
  <sheetData>
    <row r="1" spans="1:11" x14ac:dyDescent="0.3">
      <c r="A1" s="1" t="s">
        <v>137</v>
      </c>
      <c r="B1" s="59" t="s">
        <v>59</v>
      </c>
      <c r="D1" s="44"/>
      <c r="E1" s="40"/>
      <c r="G1" s="41"/>
      <c r="H1" s="40"/>
      <c r="I1" s="40"/>
      <c r="J1" s="40"/>
      <c r="K1" s="40"/>
    </row>
    <row r="2" spans="1:11" x14ac:dyDescent="0.3">
      <c r="A2" s="1"/>
      <c r="B2" s="59"/>
      <c r="D2" s="44"/>
      <c r="E2" s="40"/>
      <c r="G2" s="41"/>
      <c r="H2" s="40"/>
      <c r="I2" s="40"/>
      <c r="J2" s="40"/>
      <c r="K2" s="40"/>
    </row>
    <row r="3" spans="1:11" x14ac:dyDescent="0.3">
      <c r="A3" s="1"/>
      <c r="B3" s="13" t="s">
        <v>27</v>
      </c>
      <c r="C3" s="13" t="s">
        <v>28</v>
      </c>
      <c r="D3" s="44"/>
      <c r="E3" s="40"/>
      <c r="F3" s="47"/>
      <c r="G3" s="47"/>
      <c r="H3" s="40"/>
      <c r="I3" s="40"/>
      <c r="J3" s="40"/>
      <c r="K3" s="40"/>
    </row>
    <row r="4" spans="1:11" x14ac:dyDescent="0.3">
      <c r="A4" s="41" t="s">
        <v>38</v>
      </c>
      <c r="B4" s="48">
        <f>'1'!E6</f>
        <v>25000</v>
      </c>
      <c r="C4" s="48">
        <f>'1'!K6</f>
        <v>75000</v>
      </c>
      <c r="D4" s="44"/>
      <c r="E4" s="40"/>
      <c r="F4" s="47"/>
      <c r="G4" s="41"/>
      <c r="H4" s="40"/>
      <c r="I4" s="40"/>
      <c r="J4" s="40"/>
      <c r="K4" s="40"/>
    </row>
    <row r="5" spans="1:11" x14ac:dyDescent="0.3">
      <c r="A5" t="s">
        <v>90</v>
      </c>
      <c r="B5">
        <v>7</v>
      </c>
      <c r="C5">
        <v>3</v>
      </c>
      <c r="D5" s="44"/>
      <c r="E5" s="40"/>
      <c r="F5" s="47"/>
      <c r="G5" s="41"/>
      <c r="H5" s="40"/>
      <c r="I5" s="40"/>
      <c r="J5" s="40"/>
      <c r="K5" s="40"/>
    </row>
    <row r="6" spans="1:11" x14ac:dyDescent="0.3">
      <c r="A6" s="6" t="s">
        <v>92</v>
      </c>
      <c r="B6" s="52">
        <f>B4*B5</f>
        <v>175000</v>
      </c>
      <c r="C6" s="52">
        <f>C4*C5</f>
        <v>225000</v>
      </c>
      <c r="D6" s="44"/>
      <c r="E6" s="40"/>
      <c r="F6" s="47"/>
      <c r="G6" s="47"/>
      <c r="H6" s="40"/>
      <c r="I6" s="40"/>
      <c r="J6" s="40"/>
      <c r="K6" s="40"/>
    </row>
    <row r="7" spans="1:11" x14ac:dyDescent="0.3">
      <c r="A7" t="s">
        <v>91</v>
      </c>
      <c r="B7" s="53">
        <f>B6+C6</f>
        <v>400000</v>
      </c>
      <c r="D7" s="44"/>
      <c r="E7" s="40"/>
      <c r="F7" s="47"/>
      <c r="G7" s="47"/>
      <c r="H7" s="40"/>
      <c r="I7" s="40"/>
      <c r="J7" s="40"/>
      <c r="K7" s="40"/>
    </row>
    <row r="9" spans="1:11" x14ac:dyDescent="0.3">
      <c r="A9" s="1" t="s">
        <v>93</v>
      </c>
      <c r="B9" s="27">
        <v>2011</v>
      </c>
      <c r="C9" s="27">
        <v>2012</v>
      </c>
      <c r="D9" s="27">
        <v>2013</v>
      </c>
      <c r="E9" s="27">
        <v>2014</v>
      </c>
      <c r="F9" s="29">
        <v>2015</v>
      </c>
      <c r="G9" s="27">
        <v>2016</v>
      </c>
      <c r="H9" s="29">
        <v>2017</v>
      </c>
      <c r="I9" s="29">
        <v>2018</v>
      </c>
      <c r="J9" s="27">
        <v>2019</v>
      </c>
      <c r="K9" s="29">
        <v>2020</v>
      </c>
    </row>
    <row r="10" spans="1:11" x14ac:dyDescent="0.3">
      <c r="A10" s="41" t="s">
        <v>32</v>
      </c>
      <c r="B10" s="14">
        <f>'7'!B14*'8'!$B$4</f>
        <v>25</v>
      </c>
      <c r="C10" s="14">
        <f>'7'!C14*'8'!$B$4</f>
        <v>26.000000000000004</v>
      </c>
      <c r="D10" s="14">
        <f>'7'!D14*'8'!$B$4</f>
        <v>27.040000000000006</v>
      </c>
      <c r="E10" s="14">
        <f>'7'!E14*'8'!$B$4</f>
        <v>28.121600000000008</v>
      </c>
      <c r="F10" s="14">
        <f>'7'!F14*'8'!$B$4</f>
        <v>29.246464000000007</v>
      </c>
      <c r="G10" s="14">
        <f>'7'!G14*'8'!$B$4</f>
        <v>29.246464000000007</v>
      </c>
      <c r="H10" s="14">
        <f>'7'!H14*'8'!$B$4</f>
        <v>31.001251840000009</v>
      </c>
      <c r="I10" s="14">
        <f>'7'!I14*'8'!$B$4</f>
        <v>32.861326950400013</v>
      </c>
      <c r="J10" s="14">
        <f>'7'!J14*'8'!$B$4</f>
        <v>34.833006567424015</v>
      </c>
      <c r="K10" s="14">
        <f>'7'!K14*'8'!$B$4</f>
        <v>36.922986961469455</v>
      </c>
    </row>
    <row r="11" spans="1:11" x14ac:dyDescent="0.3">
      <c r="A11" s="41" t="s">
        <v>41</v>
      </c>
      <c r="B11" s="14">
        <f>'7'!B15*'8'!$B$4</f>
        <v>250</v>
      </c>
      <c r="C11" s="14">
        <f>'7'!C15*'8'!$B$4</f>
        <v>260.00000000000006</v>
      </c>
      <c r="D11" s="14">
        <f>'7'!D15*'8'!$B$4</f>
        <v>270.40000000000003</v>
      </c>
      <c r="E11" s="14">
        <f>'7'!E15*'8'!$B$4</f>
        <v>281.21600000000001</v>
      </c>
      <c r="F11" s="14">
        <f>'7'!F15*'8'!$B$4</f>
        <v>292.46464000000003</v>
      </c>
      <c r="G11" s="14">
        <f>'7'!G15*'8'!$B$4</f>
        <v>292.46464000000003</v>
      </c>
      <c r="H11" s="14">
        <f>'7'!H15*'8'!$B$4</f>
        <v>310.01251840000003</v>
      </c>
      <c r="I11" s="14">
        <f>'7'!I15*'8'!$B$4</f>
        <v>328.61326950400007</v>
      </c>
      <c r="J11" s="14">
        <f>'7'!J15*'8'!$B$4</f>
        <v>348.33006567424007</v>
      </c>
      <c r="K11" s="14">
        <f>'7'!K15*'8'!$B$4</f>
        <v>369.22986961469451</v>
      </c>
    </row>
    <row r="12" spans="1:11" x14ac:dyDescent="0.3">
      <c r="A12" s="41" t="s">
        <v>42</v>
      </c>
      <c r="B12" s="14"/>
      <c r="C12" s="14"/>
      <c r="D12" s="14"/>
      <c r="E12" s="14"/>
      <c r="F12" s="14"/>
      <c r="G12" s="14"/>
      <c r="H12" s="14"/>
      <c r="I12" s="14"/>
      <c r="J12" s="14"/>
      <c r="K12" s="14"/>
    </row>
    <row r="13" spans="1:11" x14ac:dyDescent="0.3">
      <c r="A13" s="41" t="s">
        <v>97</v>
      </c>
      <c r="B13" s="14">
        <f>$B4*'7'!B16</f>
        <v>750</v>
      </c>
      <c r="C13" s="14">
        <f>$B4*'7'!C16</f>
        <v>780</v>
      </c>
      <c r="D13" s="14">
        <f>$B4*'7'!D16</f>
        <v>811.19999999999993</v>
      </c>
      <c r="E13" s="14">
        <f>$B4*'7'!E16</f>
        <v>843.64799999999991</v>
      </c>
      <c r="F13" s="14">
        <f>$B4*'7'!F16</f>
        <v>877.39392000000009</v>
      </c>
      <c r="G13" s="14">
        <f>$B4*'7'!G16</f>
        <v>877.39392000000009</v>
      </c>
      <c r="H13" s="14">
        <f>$B4*'7'!H16</f>
        <v>930.03755520000004</v>
      </c>
      <c r="I13" s="14">
        <f>$B4*'7'!I16</f>
        <v>985.83980851200022</v>
      </c>
      <c r="J13" s="14">
        <f>$B4*'7'!J16</f>
        <v>1044.9901970227204</v>
      </c>
      <c r="K13" s="14">
        <f>$B4*'7'!K16</f>
        <v>1107.6896088440835</v>
      </c>
    </row>
    <row r="14" spans="1:11" x14ac:dyDescent="0.3">
      <c r="A14" s="41" t="s">
        <v>98</v>
      </c>
      <c r="B14" s="14">
        <f>$C4*'7'!B16</f>
        <v>2250</v>
      </c>
      <c r="C14" s="14">
        <f>$C4*'7'!C16</f>
        <v>2340</v>
      </c>
      <c r="D14" s="14">
        <f>$C4*'7'!D16</f>
        <v>2433.6</v>
      </c>
      <c r="E14" s="14">
        <f>$C4*'7'!E16</f>
        <v>2530.944</v>
      </c>
      <c r="F14" s="14">
        <f>$C4*'7'!F16</f>
        <v>2632.1817600000004</v>
      </c>
      <c r="G14" s="14">
        <f>$C4*'7'!G16</f>
        <v>2632.1817600000004</v>
      </c>
      <c r="H14" s="14">
        <f>$C4*'7'!H16</f>
        <v>2790.1126656000001</v>
      </c>
      <c r="I14" s="14">
        <f>$C4*'7'!I16</f>
        <v>2957.5194255360007</v>
      </c>
      <c r="J14" s="14">
        <f>$C4*'7'!J16</f>
        <v>3134.970591068161</v>
      </c>
      <c r="K14" s="14">
        <f>$C4*'7'!K16</f>
        <v>3323.0688265322506</v>
      </c>
    </row>
    <row r="15" spans="1:11" x14ac:dyDescent="0.3">
      <c r="A15" s="41" t="s">
        <v>43</v>
      </c>
      <c r="B15" s="14"/>
      <c r="C15" s="14"/>
      <c r="D15" s="14"/>
      <c r="E15" s="14"/>
      <c r="F15" s="14"/>
      <c r="G15" s="14"/>
      <c r="H15" s="14"/>
      <c r="I15" s="14"/>
      <c r="J15" s="14"/>
      <c r="K15" s="14"/>
    </row>
    <row r="16" spans="1:11" x14ac:dyDescent="0.3">
      <c r="A16" s="41" t="s">
        <v>97</v>
      </c>
      <c r="B16" s="14">
        <f>$B4*'7'!B17</f>
        <v>750</v>
      </c>
      <c r="C16" s="14">
        <f>$B4*'7'!C17</f>
        <v>780</v>
      </c>
      <c r="D16" s="14">
        <f>$B4*'7'!D17</f>
        <v>811.19999999999993</v>
      </c>
      <c r="E16" s="14">
        <f>$B4*'7'!E17</f>
        <v>843.64799999999991</v>
      </c>
      <c r="F16" s="14">
        <f>$B4*'7'!F17</f>
        <v>877.39392000000009</v>
      </c>
      <c r="G16" s="14">
        <f>$B4*'7'!G17</f>
        <v>877.39392000000009</v>
      </c>
      <c r="H16" s="14">
        <f>$B4*'7'!H17</f>
        <v>930.03755520000004</v>
      </c>
      <c r="I16" s="14">
        <f>$B4*'7'!I17</f>
        <v>985.83980851200022</v>
      </c>
      <c r="J16" s="14">
        <f>$B4*'7'!J17</f>
        <v>1044.9901970227204</v>
      </c>
      <c r="K16" s="14">
        <f>$B4*'7'!K17</f>
        <v>1107.6896088440835</v>
      </c>
    </row>
    <row r="17" spans="1:12" x14ac:dyDescent="0.3">
      <c r="A17" s="41" t="s">
        <v>98</v>
      </c>
      <c r="B17" s="14">
        <f>$C4*'7'!B17</f>
        <v>2250</v>
      </c>
      <c r="C17" s="14">
        <f>$C4*'7'!C17</f>
        <v>2340</v>
      </c>
      <c r="D17" s="14">
        <f>$C4*'7'!D17</f>
        <v>2433.6</v>
      </c>
      <c r="E17" s="14">
        <f>$C4*'7'!E17</f>
        <v>2530.944</v>
      </c>
      <c r="F17" s="14">
        <f>$C4*'7'!F17</f>
        <v>2632.1817600000004</v>
      </c>
      <c r="G17" s="14">
        <f>$C4*'7'!G17</f>
        <v>2632.1817600000004</v>
      </c>
      <c r="H17" s="14">
        <f>$C4*'7'!H17</f>
        <v>2790.1126656000001</v>
      </c>
      <c r="I17" s="14">
        <f>$C4*'7'!I17</f>
        <v>2957.5194255360007</v>
      </c>
      <c r="J17" s="14">
        <f>$C4*'7'!J17</f>
        <v>3134.970591068161</v>
      </c>
      <c r="K17" s="14">
        <f>$C4*'7'!K17</f>
        <v>3323.0688265322506</v>
      </c>
    </row>
    <row r="18" spans="1:12" x14ac:dyDescent="0.3">
      <c r="A18" s="41" t="s">
        <v>46</v>
      </c>
      <c r="B18" s="14"/>
      <c r="C18" s="14"/>
      <c r="D18" s="14"/>
      <c r="E18" s="14"/>
      <c r="F18" s="14"/>
      <c r="G18" s="14"/>
      <c r="H18" s="14"/>
      <c r="I18" s="14"/>
      <c r="J18" s="14"/>
      <c r="K18" s="14"/>
    </row>
    <row r="19" spans="1:12" x14ac:dyDescent="0.3">
      <c r="A19" s="41" t="s">
        <v>97</v>
      </c>
      <c r="B19" s="14">
        <f>$B4*'7'!B18</f>
        <v>750</v>
      </c>
      <c r="C19" s="14">
        <f>$B4*'7'!C18</f>
        <v>780</v>
      </c>
      <c r="D19" s="14">
        <f>$B4*'7'!D18</f>
        <v>811.19999999999993</v>
      </c>
      <c r="E19" s="14">
        <f>$B4*'7'!E18</f>
        <v>843.64799999999991</v>
      </c>
      <c r="F19" s="14">
        <f>$B4*'7'!F18</f>
        <v>877.39392000000009</v>
      </c>
      <c r="G19" s="14">
        <f>$B4*'7'!G18</f>
        <v>877.39392000000009</v>
      </c>
      <c r="H19" s="14">
        <f>$B4*'7'!H18</f>
        <v>930.03755520000004</v>
      </c>
      <c r="I19" s="14">
        <f>$B4*'7'!I18</f>
        <v>985.83980851200022</v>
      </c>
      <c r="J19" s="14">
        <f>$B4*'7'!J18</f>
        <v>1044.9901970227204</v>
      </c>
      <c r="K19" s="14">
        <f>$B4*'7'!K18</f>
        <v>1107.6896088440835</v>
      </c>
    </row>
    <row r="20" spans="1:12" x14ac:dyDescent="0.3">
      <c r="A20" s="41" t="s">
        <v>98</v>
      </c>
      <c r="B20" s="14">
        <f>$C4*'7'!B18</f>
        <v>2250</v>
      </c>
      <c r="C20" s="14">
        <f>$C4*'7'!C18</f>
        <v>2340</v>
      </c>
      <c r="D20" s="14">
        <f>$C4*'7'!D18</f>
        <v>2433.6</v>
      </c>
      <c r="E20" s="14">
        <f>$C4*'7'!E18</f>
        <v>2530.944</v>
      </c>
      <c r="F20" s="14">
        <f>$C4*'7'!F18</f>
        <v>2632.1817600000004</v>
      </c>
      <c r="G20" s="14">
        <f>$C4*'7'!G18</f>
        <v>2632.1817600000004</v>
      </c>
      <c r="H20" s="14">
        <f>$C4*'7'!H18</f>
        <v>2790.1126656000001</v>
      </c>
      <c r="I20" s="14">
        <f>$C4*'7'!I18</f>
        <v>2957.5194255360007</v>
      </c>
      <c r="J20" s="14">
        <f>$C4*'7'!J18</f>
        <v>3134.970591068161</v>
      </c>
      <c r="K20" s="14">
        <f>$C4*'7'!K18</f>
        <v>3323.0688265322506</v>
      </c>
    </row>
    <row r="21" spans="1:12" x14ac:dyDescent="0.3">
      <c r="A21" s="41" t="s">
        <v>44</v>
      </c>
      <c r="B21" s="14">
        <f>'7'!B19*'8'!$B$4</f>
        <v>250</v>
      </c>
      <c r="C21" s="14">
        <f>'7'!C19*'8'!$B$4</f>
        <v>260.00000000000006</v>
      </c>
      <c r="D21" s="14">
        <f>'7'!D19*'8'!$B$4</f>
        <v>270.40000000000003</v>
      </c>
      <c r="E21" s="14">
        <f>'7'!E19*'8'!$B$4</f>
        <v>281.21600000000001</v>
      </c>
      <c r="F21" s="14">
        <f>'7'!F19*'8'!$B$4</f>
        <v>292.46464000000003</v>
      </c>
      <c r="G21" s="14">
        <f>'7'!G19*'8'!$B$4</f>
        <v>292.46464000000003</v>
      </c>
      <c r="H21" s="14">
        <f>'7'!H19*'8'!$B$4</f>
        <v>310.01251840000003</v>
      </c>
      <c r="I21" s="14">
        <f>'7'!I19*'8'!$B$4</f>
        <v>328.61326950400007</v>
      </c>
      <c r="J21" s="14">
        <f>'7'!J19*'8'!$B$4</f>
        <v>348.33006567424007</v>
      </c>
      <c r="K21" s="14">
        <f>'7'!K19*'8'!$B$4</f>
        <v>369.22986961469451</v>
      </c>
    </row>
    <row r="22" spans="1:12" x14ac:dyDescent="0.3">
      <c r="A22" s="60" t="s">
        <v>60</v>
      </c>
      <c r="B22" s="61">
        <f>'7'!B20*'8'!$B$4</f>
        <v>250</v>
      </c>
      <c r="C22" s="61">
        <f>'7'!C20*'8'!$B$4</f>
        <v>260.00000000000006</v>
      </c>
      <c r="D22" s="61">
        <f>'7'!D20*'8'!$B$4</f>
        <v>270.40000000000003</v>
      </c>
      <c r="E22" s="61">
        <f>'7'!E20*'8'!$B$4</f>
        <v>281.21600000000001</v>
      </c>
      <c r="F22" s="61">
        <f>'7'!F20*'8'!$B$4</f>
        <v>292.46464000000003</v>
      </c>
      <c r="G22" s="61">
        <f>'7'!G20*'8'!$B$4</f>
        <v>292.46464000000003</v>
      </c>
      <c r="H22" s="61">
        <f>'7'!H20*'8'!$B$4</f>
        <v>310.01251840000003</v>
      </c>
      <c r="I22" s="61">
        <f>'7'!I20*'8'!$B$4</f>
        <v>328.61326950400007</v>
      </c>
      <c r="J22" s="61">
        <f>'7'!J20*'8'!$B$4</f>
        <v>348.33006567424007</v>
      </c>
      <c r="K22" s="61">
        <f>'7'!K20*'8'!$B$4</f>
        <v>369.22986961469451</v>
      </c>
    </row>
    <row r="23" spans="1:12" x14ac:dyDescent="0.3">
      <c r="A23" s="41" t="s">
        <v>94</v>
      </c>
      <c r="B23" s="14">
        <f t="shared" ref="B23:K23" si="0">SUM(B10:B22)</f>
        <v>9775</v>
      </c>
      <c r="C23" s="14">
        <f t="shared" si="0"/>
        <v>10166</v>
      </c>
      <c r="D23" s="14">
        <f t="shared" si="0"/>
        <v>10572.639999999998</v>
      </c>
      <c r="E23" s="14">
        <f t="shared" si="0"/>
        <v>10995.545600000001</v>
      </c>
      <c r="F23" s="14">
        <f t="shared" si="0"/>
        <v>11435.367424000004</v>
      </c>
      <c r="G23" s="14">
        <f t="shared" si="0"/>
        <v>11435.367424000004</v>
      </c>
      <c r="H23" s="14">
        <f t="shared" si="0"/>
        <v>12121.489469440001</v>
      </c>
      <c r="I23" s="14">
        <f t="shared" si="0"/>
        <v>12848.778837606402</v>
      </c>
      <c r="J23" s="14">
        <f t="shared" si="0"/>
        <v>13619.705567862786</v>
      </c>
      <c r="K23" s="14">
        <f t="shared" si="0"/>
        <v>14436.887901934551</v>
      </c>
    </row>
    <row r="24" spans="1:12" s="3" customFormat="1" x14ac:dyDescent="0.3">
      <c r="A24" s="41" t="s">
        <v>95</v>
      </c>
      <c r="B24" s="352">
        <f t="shared" ref="B24:K24" si="1">B23/$B7</f>
        <v>2.4437500000000001E-2</v>
      </c>
      <c r="C24" s="352">
        <f t="shared" si="1"/>
        <v>2.5415E-2</v>
      </c>
      <c r="D24" s="352">
        <f t="shared" si="1"/>
        <v>2.6431599999999993E-2</v>
      </c>
      <c r="E24" s="352">
        <f t="shared" si="1"/>
        <v>2.7488864000000002E-2</v>
      </c>
      <c r="F24" s="352">
        <f t="shared" si="1"/>
        <v>2.8588418560000009E-2</v>
      </c>
      <c r="G24" s="352">
        <f t="shared" si="1"/>
        <v>2.8588418560000009E-2</v>
      </c>
      <c r="H24" s="352">
        <f t="shared" si="1"/>
        <v>3.0303723673600003E-2</v>
      </c>
      <c r="I24" s="352">
        <f t="shared" si="1"/>
        <v>3.2121947094016001E-2</v>
      </c>
      <c r="J24" s="352">
        <f t="shared" si="1"/>
        <v>3.4049263919656965E-2</v>
      </c>
      <c r="K24" s="352">
        <f t="shared" si="1"/>
        <v>3.6092219754836376E-2</v>
      </c>
    </row>
    <row r="25" spans="1:12" s="20" customFormat="1" x14ac:dyDescent="0.3">
      <c r="A25" s="129"/>
      <c r="B25" s="130"/>
      <c r="C25" s="130"/>
      <c r="D25" s="130"/>
      <c r="E25" s="130"/>
      <c r="F25" s="130"/>
      <c r="G25" s="130"/>
      <c r="H25" s="130"/>
      <c r="I25" s="130"/>
      <c r="J25" s="130"/>
      <c r="K25" s="130"/>
    </row>
    <row r="26" spans="1:12" s="20" customFormat="1" x14ac:dyDescent="0.3">
      <c r="A26" s="47" t="s">
        <v>124</v>
      </c>
      <c r="B26" s="130"/>
      <c r="C26" s="130"/>
      <c r="D26" s="130"/>
      <c r="E26" s="130"/>
      <c r="F26" s="130"/>
      <c r="G26" s="130"/>
      <c r="H26" s="130"/>
      <c r="I26" s="130"/>
      <c r="J26" s="130"/>
      <c r="K26" s="130"/>
    </row>
    <row r="27" spans="1:12" s="20" customFormat="1" x14ac:dyDescent="0.3">
      <c r="A27" s="41" t="s">
        <v>27</v>
      </c>
      <c r="B27" s="352">
        <f t="shared" ref="B27:K27" si="2">(B10+B11+B13+B16+B19+B21+B22)/$B6</f>
        <v>1.7285714285714286E-2</v>
      </c>
      <c r="C27" s="352">
        <f t="shared" si="2"/>
        <v>1.7977142857142858E-2</v>
      </c>
      <c r="D27" s="352">
        <f t="shared" si="2"/>
        <v>1.869622857142857E-2</v>
      </c>
      <c r="E27" s="352">
        <f t="shared" si="2"/>
        <v>1.9444077714285711E-2</v>
      </c>
      <c r="F27" s="352">
        <f t="shared" si="2"/>
        <v>2.0221840822857148E-2</v>
      </c>
      <c r="G27" s="352">
        <f t="shared" si="2"/>
        <v>2.0221840822857148E-2</v>
      </c>
      <c r="H27" s="352">
        <f t="shared" si="2"/>
        <v>2.1435151272228569E-2</v>
      </c>
      <c r="I27" s="352">
        <f t="shared" si="2"/>
        <v>2.272126034856229E-2</v>
      </c>
      <c r="J27" s="352">
        <f t="shared" si="2"/>
        <v>2.4084535969476028E-2</v>
      </c>
      <c r="K27" s="352">
        <f t="shared" si="2"/>
        <v>2.5529608127644592E-2</v>
      </c>
    </row>
    <row r="28" spans="1:12" s="20" customFormat="1" x14ac:dyDescent="0.3">
      <c r="A28" s="41" t="s">
        <v>28</v>
      </c>
      <c r="B28" s="352">
        <f t="shared" ref="B28:K28" si="3">(B14+B17+B20)/$C6</f>
        <v>0.03</v>
      </c>
      <c r="C28" s="352">
        <f t="shared" si="3"/>
        <v>3.1199999999999999E-2</v>
      </c>
      <c r="D28" s="352">
        <f t="shared" si="3"/>
        <v>3.2447999999999998E-2</v>
      </c>
      <c r="E28" s="352">
        <f t="shared" si="3"/>
        <v>3.3745919999999999E-2</v>
      </c>
      <c r="F28" s="352">
        <f t="shared" si="3"/>
        <v>3.5095756800000003E-2</v>
      </c>
      <c r="G28" s="352">
        <f t="shared" si="3"/>
        <v>3.5095756800000003E-2</v>
      </c>
      <c r="H28" s="352">
        <f t="shared" si="3"/>
        <v>3.7201502208000004E-2</v>
      </c>
      <c r="I28" s="352">
        <f t="shared" si="3"/>
        <v>3.9433592340480009E-2</v>
      </c>
      <c r="J28" s="352">
        <f t="shared" si="3"/>
        <v>4.1799607880908814E-2</v>
      </c>
      <c r="K28" s="352">
        <f t="shared" si="3"/>
        <v>4.4307584353763342E-2</v>
      </c>
    </row>
    <row r="29" spans="1:12" x14ac:dyDescent="0.3">
      <c r="A29" t="s">
        <v>33</v>
      </c>
      <c r="B29" s="353">
        <f t="shared" ref="B29:K29" si="4">B23/$B7</f>
        <v>2.4437500000000001E-2</v>
      </c>
      <c r="C29" s="353">
        <f t="shared" si="4"/>
        <v>2.5415E-2</v>
      </c>
      <c r="D29" s="353">
        <f t="shared" si="4"/>
        <v>2.6431599999999993E-2</v>
      </c>
      <c r="E29" s="353">
        <f t="shared" si="4"/>
        <v>2.7488864000000002E-2</v>
      </c>
      <c r="F29" s="353">
        <f t="shared" si="4"/>
        <v>2.8588418560000009E-2</v>
      </c>
      <c r="G29" s="353">
        <f t="shared" si="4"/>
        <v>2.8588418560000009E-2</v>
      </c>
      <c r="H29" s="353">
        <f t="shared" si="4"/>
        <v>3.0303723673600003E-2</v>
      </c>
      <c r="I29" s="353">
        <f t="shared" si="4"/>
        <v>3.2121947094016001E-2</v>
      </c>
      <c r="J29" s="353">
        <f t="shared" si="4"/>
        <v>3.4049263919656965E-2</v>
      </c>
      <c r="K29" s="353">
        <f t="shared" si="4"/>
        <v>3.6092219754836376E-2</v>
      </c>
    </row>
    <row r="31" spans="1:12" x14ac:dyDescent="0.3">
      <c r="A31" s="47" t="s">
        <v>125</v>
      </c>
    </row>
    <row r="32" spans="1:12" x14ac:dyDescent="0.3">
      <c r="A32" s="41" t="s">
        <v>27</v>
      </c>
      <c r="B32" s="18">
        <f>SUM($B27:B27)</f>
        <v>1.7285714285714286E-2</v>
      </c>
      <c r="C32" s="18">
        <f>SUM($B27:C27)</f>
        <v>3.5262857142857144E-2</v>
      </c>
      <c r="D32" s="18">
        <f>SUM($B27:D27)</f>
        <v>5.3959085714285718E-2</v>
      </c>
      <c r="E32" s="18">
        <f>SUM($B27:E27)</f>
        <v>7.3403163428571422E-2</v>
      </c>
      <c r="F32" s="18">
        <f>SUM($B27:F27)</f>
        <v>9.362500425142857E-2</v>
      </c>
      <c r="G32" s="18">
        <f>SUM($B27:G27)</f>
        <v>0.11384684507428572</v>
      </c>
      <c r="H32" s="18">
        <f>SUM($B27:H27)</f>
        <v>0.13528199634651428</v>
      </c>
      <c r="I32" s="18">
        <f>SUM($B27:I27)</f>
        <v>0.15800325669507656</v>
      </c>
      <c r="J32" s="18">
        <f>SUM($B27:J27)</f>
        <v>0.18208779266455258</v>
      </c>
      <c r="K32" s="18">
        <f>SUM($B27:K27)</f>
        <v>0.20761740079219718</v>
      </c>
      <c r="L32" s="18"/>
    </row>
    <row r="33" spans="1:12" s="3" customFormat="1" x14ac:dyDescent="0.3">
      <c r="A33" s="41" t="s">
        <v>28</v>
      </c>
      <c r="B33" s="18">
        <f>SUM($B28:B28)</f>
        <v>0.03</v>
      </c>
      <c r="C33" s="18">
        <f>SUM($B28:C28)</f>
        <v>6.1199999999999997E-2</v>
      </c>
      <c r="D33" s="18">
        <f>SUM($B28:D28)</f>
        <v>9.3647999999999995E-2</v>
      </c>
      <c r="E33" s="18">
        <f>SUM($B28:E28)</f>
        <v>0.12739391999999999</v>
      </c>
      <c r="F33" s="18">
        <f>SUM($B28:F28)</f>
        <v>0.16248967679999998</v>
      </c>
      <c r="G33" s="18">
        <f>SUM($B28:G28)</f>
        <v>0.19758543359999997</v>
      </c>
      <c r="H33" s="18">
        <f>SUM($B28:H28)</f>
        <v>0.23478693580799997</v>
      </c>
      <c r="I33" s="18">
        <f>SUM($B28:I28)</f>
        <v>0.27422052814847997</v>
      </c>
      <c r="J33" s="18">
        <f>SUM($B28:J28)</f>
        <v>0.31602013602938878</v>
      </c>
      <c r="K33" s="18">
        <f>SUM($B28:K28)</f>
        <v>0.36032772038315214</v>
      </c>
      <c r="L33" s="18"/>
    </row>
    <row r="34" spans="1:12" x14ac:dyDescent="0.3">
      <c r="A34" t="s">
        <v>33</v>
      </c>
      <c r="B34" s="18">
        <f>SUM($B29:B29)</f>
        <v>2.4437500000000001E-2</v>
      </c>
      <c r="C34" s="18">
        <f>SUM($B29:C29)</f>
        <v>4.9852500000000001E-2</v>
      </c>
      <c r="D34" s="18">
        <f>SUM($B29:D29)</f>
        <v>7.6284099999999994E-2</v>
      </c>
      <c r="E34" s="18">
        <f>SUM($B29:E29)</f>
        <v>0.103772964</v>
      </c>
      <c r="F34" s="18">
        <f>SUM($B29:F29)</f>
        <v>0.13236138256000002</v>
      </c>
      <c r="G34" s="18">
        <f>SUM($B29:G29)</f>
        <v>0.16094980112000001</v>
      </c>
      <c r="H34" s="18">
        <f>SUM($B29:H29)</f>
        <v>0.19125352479360003</v>
      </c>
      <c r="I34" s="18">
        <f>SUM($B29:I29)</f>
        <v>0.22337547188761603</v>
      </c>
      <c r="J34" s="18">
        <f>SUM($B29:J29)</f>
        <v>0.25742473580727299</v>
      </c>
      <c r="K34" s="18">
        <f>SUM($B29:K29)</f>
        <v>0.29351695556210938</v>
      </c>
      <c r="L34" s="18"/>
    </row>
    <row r="36" spans="1:12" s="20" customFormat="1" x14ac:dyDescent="0.3">
      <c r="A36" s="20" t="s">
        <v>275</v>
      </c>
      <c r="B36" s="348"/>
      <c r="D36" s="349"/>
      <c r="E36" s="350"/>
      <c r="F36" s="351"/>
      <c r="G36" s="351"/>
      <c r="H36" s="350"/>
      <c r="I36" s="350"/>
      <c r="J36" s="350"/>
      <c r="K36" s="350"/>
    </row>
  </sheetData>
  <hyperlinks>
    <hyperlink ref="B1" location="Index!A1" display="Back to Index"/>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O54"/>
  <sheetViews>
    <sheetView topLeftCell="A52" zoomScale="90" zoomScaleNormal="90" workbookViewId="0">
      <selection activeCell="B54" sqref="B54"/>
    </sheetView>
  </sheetViews>
  <sheetFormatPr defaultRowHeight="14.4" x14ac:dyDescent="0.3"/>
  <cols>
    <col min="1" max="1" width="38.6640625" customWidth="1"/>
    <col min="2" max="11" width="11.5546875" customWidth="1"/>
  </cols>
  <sheetData>
    <row r="1" spans="1:15" x14ac:dyDescent="0.3">
      <c r="A1" s="49" t="s">
        <v>105</v>
      </c>
      <c r="B1" s="59" t="s">
        <v>59</v>
      </c>
    </row>
    <row r="3" spans="1:15" x14ac:dyDescent="0.3">
      <c r="A3" s="50" t="s">
        <v>103</v>
      </c>
      <c r="B3" s="45"/>
      <c r="C3" s="45"/>
      <c r="D3" s="46"/>
      <c r="E3" s="46"/>
      <c r="F3" s="42"/>
      <c r="G3" s="40"/>
      <c r="H3" s="40"/>
    </row>
    <row r="4" spans="1:15" x14ac:dyDescent="0.3">
      <c r="A4" s="138" t="s">
        <v>293</v>
      </c>
      <c r="B4" s="29">
        <v>2011</v>
      </c>
      <c r="C4" s="29">
        <v>2012</v>
      </c>
      <c r="D4" s="29">
        <v>2013</v>
      </c>
      <c r="E4" s="29">
        <v>2014</v>
      </c>
      <c r="F4" s="29">
        <v>2015</v>
      </c>
      <c r="G4" s="29">
        <v>2016</v>
      </c>
      <c r="H4" s="29">
        <v>2017</v>
      </c>
      <c r="I4" s="29">
        <v>2018</v>
      </c>
      <c r="J4" s="29">
        <v>2019</v>
      </c>
      <c r="K4" s="29">
        <v>2020</v>
      </c>
    </row>
    <row r="5" spans="1:15" x14ac:dyDescent="0.3">
      <c r="A5" s="41" t="s">
        <v>32</v>
      </c>
      <c r="B5" s="134">
        <f>('5'!$F5*'8'!B10)/1000</f>
        <v>2000</v>
      </c>
      <c r="C5" s="134">
        <f>('5'!$F5*'8'!C10)/1000</f>
        <v>2080.0000000000005</v>
      </c>
      <c r="D5" s="134">
        <f>('5'!$F5*'8'!D10)/1000</f>
        <v>2163.2000000000003</v>
      </c>
      <c r="E5" s="134">
        <f>('5'!$F5*'8'!E10)/1000</f>
        <v>2249.7280000000005</v>
      </c>
      <c r="F5" s="134">
        <f>('5'!$F5*'8'!F10)/1000</f>
        <v>2339.7171200000007</v>
      </c>
      <c r="G5" s="134">
        <f>('5'!$F5*'8'!G10)/1000</f>
        <v>2339.7171200000007</v>
      </c>
      <c r="H5" s="134">
        <f>('5'!$F5*'8'!H10)/1000</f>
        <v>2480.1001472000007</v>
      </c>
      <c r="I5" s="134">
        <f>('5'!$F5*'8'!I10)/1000</f>
        <v>2628.906156032001</v>
      </c>
      <c r="J5" s="134">
        <f>('5'!$F5*'8'!J10)/1000</f>
        <v>2786.6405253939211</v>
      </c>
      <c r="K5" s="134">
        <f>('5'!$F5*'8'!K10)/1000</f>
        <v>2953.8389569175565</v>
      </c>
      <c r="O5" s="36"/>
    </row>
    <row r="6" spans="1:15" x14ac:dyDescent="0.3">
      <c r="A6" s="41" t="s">
        <v>41</v>
      </c>
      <c r="B6" s="134">
        <f>('5'!$F6*'8'!B11)/1000</f>
        <v>3750</v>
      </c>
      <c r="C6" s="134">
        <f>('5'!$F6*'8'!C11)/1000</f>
        <v>3900.0000000000009</v>
      </c>
      <c r="D6" s="134">
        <f>('5'!$F6*'8'!D11)/1000</f>
        <v>4056.0000000000005</v>
      </c>
      <c r="E6" s="134">
        <f>('5'!$F6*'8'!E11)/1000</f>
        <v>4218.24</v>
      </c>
      <c r="F6" s="134">
        <f>('5'!$F6*'8'!F11)/1000</f>
        <v>4386.9696000000004</v>
      </c>
      <c r="G6" s="134">
        <f>('5'!$F6*'8'!G11)/1000</f>
        <v>4386.9696000000004</v>
      </c>
      <c r="H6" s="134">
        <f>('5'!$F6*'8'!H11)/1000</f>
        <v>4650.1877760000007</v>
      </c>
      <c r="I6" s="134">
        <f>('5'!$F6*'8'!I11)/1000</f>
        <v>4929.1990425600006</v>
      </c>
      <c r="J6" s="134">
        <f>('5'!$F6*'8'!J11)/1000</f>
        <v>5224.9509851136008</v>
      </c>
      <c r="K6" s="134">
        <f>('5'!$F6*'8'!K11)/1000</f>
        <v>5538.4480442204176</v>
      </c>
      <c r="M6" s="36"/>
      <c r="O6" s="64"/>
    </row>
    <row r="7" spans="1:15" x14ac:dyDescent="0.3">
      <c r="A7" s="41" t="s">
        <v>366</v>
      </c>
      <c r="B7" s="134"/>
      <c r="C7" s="134"/>
      <c r="D7" s="134"/>
      <c r="E7" s="134"/>
      <c r="F7" s="134"/>
      <c r="G7" s="134"/>
      <c r="H7" s="134"/>
      <c r="I7" s="134"/>
      <c r="J7" s="134"/>
      <c r="K7" s="134"/>
    </row>
    <row r="8" spans="1:15" x14ac:dyDescent="0.3">
      <c r="A8" s="41" t="s">
        <v>97</v>
      </c>
      <c r="B8" s="134">
        <f>('5'!$F8*'8'!B13)/1000</f>
        <v>1875</v>
      </c>
      <c r="C8" s="134">
        <f>('5'!$F8*'8'!C13)/1000</f>
        <v>1950</v>
      </c>
      <c r="D8" s="134">
        <f>('5'!$F8*'8'!D13)/1000</f>
        <v>2027.9999999999998</v>
      </c>
      <c r="E8" s="134">
        <f>('5'!$F8*'8'!E13)/1000</f>
        <v>2109.12</v>
      </c>
      <c r="F8" s="134">
        <f>('5'!$F8*'8'!F13)/1000</f>
        <v>2193.4848000000002</v>
      </c>
      <c r="G8" s="134">
        <f>('5'!$F8*'8'!G13)/1000</f>
        <v>2193.4848000000002</v>
      </c>
      <c r="H8" s="134">
        <f>('5'!$F8*'8'!H13)/1000</f>
        <v>2325.0938880000003</v>
      </c>
      <c r="I8" s="134">
        <f>('5'!$F8*'8'!I13)/1000</f>
        <v>2464.5995212800003</v>
      </c>
      <c r="J8" s="134">
        <f>('5'!$F8*'8'!J13)/1000</f>
        <v>2612.4754925568009</v>
      </c>
      <c r="K8" s="134">
        <f>('5'!$F8*'8'!K13)/1000</f>
        <v>2769.2240221102088</v>
      </c>
    </row>
    <row r="9" spans="1:15" x14ac:dyDescent="0.3">
      <c r="A9" s="41" t="s">
        <v>98</v>
      </c>
      <c r="B9" s="134">
        <f>('5'!$F9*'8'!B14)/1000</f>
        <v>1125</v>
      </c>
      <c r="C9" s="134">
        <f>('5'!$F9*'8'!C14)/1000</f>
        <v>1170</v>
      </c>
      <c r="D9" s="134">
        <f>('5'!$F9*'8'!D14)/1000</f>
        <v>1216.8</v>
      </c>
      <c r="E9" s="134">
        <f>('5'!$F9*'8'!E14)/1000</f>
        <v>1265.472</v>
      </c>
      <c r="F9" s="134">
        <f>('5'!$F9*'8'!F14)/1000</f>
        <v>1316.0908800000002</v>
      </c>
      <c r="G9" s="134">
        <f>('5'!$F9*'8'!G14)/1000</f>
        <v>1316.0908800000002</v>
      </c>
      <c r="H9" s="134">
        <f>('5'!$F9*'8'!H14)/1000</f>
        <v>1395.0563328000001</v>
      </c>
      <c r="I9" s="134">
        <f>('5'!$F9*'8'!I14)/1000</f>
        <v>1478.7597127680003</v>
      </c>
      <c r="J9" s="134">
        <f>('5'!$F9*'8'!J14)/1000</f>
        <v>1567.4852955340807</v>
      </c>
      <c r="K9" s="134">
        <f>('5'!$F9*'8'!K14)/1000</f>
        <v>1661.5344132661253</v>
      </c>
    </row>
    <row r="10" spans="1:15" x14ac:dyDescent="0.3">
      <c r="A10" s="41" t="s">
        <v>43</v>
      </c>
      <c r="B10" s="134"/>
      <c r="C10" s="134"/>
      <c r="D10" s="134"/>
      <c r="E10" s="134"/>
      <c r="F10" s="134"/>
      <c r="G10" s="134"/>
      <c r="H10" s="134"/>
      <c r="I10" s="134"/>
      <c r="J10" s="134"/>
      <c r="K10" s="134"/>
    </row>
    <row r="11" spans="1:15" x14ac:dyDescent="0.3">
      <c r="A11" s="41" t="s">
        <v>97</v>
      </c>
      <c r="B11" s="134">
        <f>('5'!$F11*'8'!B16)/1000</f>
        <v>11250</v>
      </c>
      <c r="C11" s="134">
        <f>('5'!$F11*'8'!C16)/1000</f>
        <v>11700</v>
      </c>
      <c r="D11" s="134">
        <f>('5'!$F11*'8'!D16)/1000</f>
        <v>12167.999999999998</v>
      </c>
      <c r="E11" s="134">
        <f>('5'!$F11*'8'!E16)/1000</f>
        <v>12654.719999999998</v>
      </c>
      <c r="F11" s="134">
        <f>('5'!$F11*'8'!F16)/1000</f>
        <v>13160.908800000001</v>
      </c>
      <c r="G11" s="134">
        <f>('5'!$F11*'8'!G16)/1000</f>
        <v>13160.908800000001</v>
      </c>
      <c r="H11" s="134">
        <f>('5'!$F11*'8'!H16)/1000</f>
        <v>13950.563328</v>
      </c>
      <c r="I11" s="134">
        <f>('5'!$F11*'8'!I16)/1000</f>
        <v>14787.597127680003</v>
      </c>
      <c r="J11" s="134">
        <f>('5'!$F11*'8'!J16)/1000</f>
        <v>15674.852955340806</v>
      </c>
      <c r="K11" s="134">
        <f>('5'!$F11*'8'!K16)/1000</f>
        <v>16615.344132661252</v>
      </c>
    </row>
    <row r="12" spans="1:15" x14ac:dyDescent="0.3">
      <c r="A12" s="41" t="s">
        <v>98</v>
      </c>
      <c r="B12" s="134">
        <f>('5'!$F12*'8'!B17)/1000</f>
        <v>4500</v>
      </c>
      <c r="C12" s="134">
        <f>('5'!$F12*'8'!C17)/1000</f>
        <v>4680</v>
      </c>
      <c r="D12" s="134">
        <f>('5'!$F12*'8'!D17)/1000</f>
        <v>4867.2</v>
      </c>
      <c r="E12" s="134">
        <f>('5'!$F12*'8'!E17)/1000</f>
        <v>5061.8879999999999</v>
      </c>
      <c r="F12" s="134">
        <f>('5'!$F12*'8'!F17)/1000</f>
        <v>5264.3635200000008</v>
      </c>
      <c r="G12" s="134">
        <f>('5'!$F12*'8'!G17)/1000</f>
        <v>5264.3635200000008</v>
      </c>
      <c r="H12" s="134">
        <f>('5'!$F12*'8'!H17)/1000</f>
        <v>5580.2253312000003</v>
      </c>
      <c r="I12" s="134">
        <f>('5'!$F12*'8'!I17)/1000</f>
        <v>5915.0388510720013</v>
      </c>
      <c r="J12" s="134">
        <f>('5'!$F12*'8'!J17)/1000</f>
        <v>6269.9411821363228</v>
      </c>
      <c r="K12" s="134">
        <f>('5'!$F12*'8'!K17)/1000</f>
        <v>6646.1376530645011</v>
      </c>
    </row>
    <row r="13" spans="1:15" x14ac:dyDescent="0.3">
      <c r="A13" s="41" t="s">
        <v>46</v>
      </c>
      <c r="B13" s="134"/>
      <c r="C13" s="134"/>
      <c r="D13" s="134"/>
      <c r="E13" s="134"/>
      <c r="F13" s="134"/>
      <c r="G13" s="134"/>
      <c r="H13" s="134"/>
      <c r="I13" s="134"/>
      <c r="J13" s="134"/>
      <c r="K13" s="134"/>
    </row>
    <row r="14" spans="1:15" x14ac:dyDescent="0.3">
      <c r="A14" s="41" t="s">
        <v>97</v>
      </c>
      <c r="B14" s="134">
        <f>('5'!$F14*'8'!B19)/1000</f>
        <v>7500</v>
      </c>
      <c r="C14" s="134">
        <f>('5'!$F14*'8'!C19)/1000</f>
        <v>7800</v>
      </c>
      <c r="D14" s="134">
        <f>('5'!$F14*'8'!D19)/1000</f>
        <v>8111.9999999999991</v>
      </c>
      <c r="E14" s="134">
        <f>('5'!$F14*'8'!E19)/1000</f>
        <v>8436.48</v>
      </c>
      <c r="F14" s="134">
        <f>('5'!$F14*'8'!F19)/1000</f>
        <v>8773.9392000000007</v>
      </c>
      <c r="G14" s="134">
        <f>('5'!$F14*'8'!G19)/1000</f>
        <v>8773.9392000000007</v>
      </c>
      <c r="H14" s="134">
        <f>('5'!$F14*'8'!H19)/1000</f>
        <v>9300.3755520000013</v>
      </c>
      <c r="I14" s="134">
        <f>('5'!$F14*'8'!I19)/1000</f>
        <v>9858.3980851200013</v>
      </c>
      <c r="J14" s="134">
        <f>('5'!$F14*'8'!J19)/1000</f>
        <v>10449.901970227203</v>
      </c>
      <c r="K14" s="134">
        <f>('5'!$F14*'8'!K19)/1000</f>
        <v>11076.896088440835</v>
      </c>
    </row>
    <row r="15" spans="1:15" x14ac:dyDescent="0.3">
      <c r="A15" s="41" t="s">
        <v>98</v>
      </c>
      <c r="B15" s="134">
        <f>('5'!$F15*'8'!B20)/1000</f>
        <v>4500</v>
      </c>
      <c r="C15" s="134">
        <f>('5'!$F15*'8'!C20)/1000</f>
        <v>4680</v>
      </c>
      <c r="D15" s="134">
        <f>('5'!$F15*'8'!D20)/1000</f>
        <v>4867.2</v>
      </c>
      <c r="E15" s="134">
        <f>('5'!$F15*'8'!E20)/1000</f>
        <v>5061.8879999999999</v>
      </c>
      <c r="F15" s="134">
        <f>('5'!$F15*'8'!F20)/1000</f>
        <v>5264.3635200000008</v>
      </c>
      <c r="G15" s="134">
        <f>('5'!$F15*'8'!G20)/1000</f>
        <v>5264.3635200000008</v>
      </c>
      <c r="H15" s="134">
        <f>('5'!$F15*'8'!H20)/1000</f>
        <v>5580.2253312000003</v>
      </c>
      <c r="I15" s="134">
        <f>('5'!$F15*'8'!I20)/1000</f>
        <v>5915.0388510720013</v>
      </c>
      <c r="J15" s="134">
        <f>('5'!$F15*'8'!J20)/1000</f>
        <v>6269.9411821363228</v>
      </c>
      <c r="K15" s="134">
        <f>('5'!$F15*'8'!K20)/1000</f>
        <v>6646.1376530645011</v>
      </c>
    </row>
    <row r="16" spans="1:15" x14ac:dyDescent="0.3">
      <c r="A16" s="41" t="s">
        <v>44</v>
      </c>
      <c r="B16" s="134">
        <f>('5'!$F16*'8'!B21)/1000</f>
        <v>3750</v>
      </c>
      <c r="C16" s="134">
        <f>('5'!$F16*'8'!C21)/1000</f>
        <v>3900.0000000000009</v>
      </c>
      <c r="D16" s="134">
        <f>('5'!$F16*'8'!D21)/1000</f>
        <v>4056.0000000000005</v>
      </c>
      <c r="E16" s="134">
        <f>('5'!$F16*'8'!E21)/1000</f>
        <v>4218.24</v>
      </c>
      <c r="F16" s="134">
        <f>('5'!$F16*'8'!F21)/1000</f>
        <v>4386.9696000000004</v>
      </c>
      <c r="G16" s="134">
        <f>('5'!$F16*'8'!G21)/1000</f>
        <v>4386.9696000000004</v>
      </c>
      <c r="H16" s="134">
        <f>('5'!$F16*'8'!H21)/1000</f>
        <v>4650.1877760000007</v>
      </c>
      <c r="I16" s="134">
        <f>('5'!$F16*'8'!I21)/1000</f>
        <v>4929.1990425600006</v>
      </c>
      <c r="J16" s="134">
        <f>('5'!$F16*'8'!J21)/1000</f>
        <v>5224.9509851136008</v>
      </c>
      <c r="K16" s="134">
        <f>('5'!$F16*'8'!K21)/1000</f>
        <v>5538.4480442204176</v>
      </c>
    </row>
    <row r="17" spans="1:15" x14ac:dyDescent="0.3">
      <c r="A17" s="60" t="s">
        <v>60</v>
      </c>
      <c r="B17" s="135">
        <f>('5'!$F17*'8'!B22)/1000</f>
        <v>3750</v>
      </c>
      <c r="C17" s="135">
        <f>('5'!$F17*'8'!C22)/1000</f>
        <v>3900.0000000000009</v>
      </c>
      <c r="D17" s="135">
        <f>('5'!$F17*'8'!D22)/1000</f>
        <v>4056.0000000000005</v>
      </c>
      <c r="E17" s="135">
        <f>('5'!$F17*'8'!E22)/1000</f>
        <v>4218.24</v>
      </c>
      <c r="F17" s="135">
        <f>('5'!$F17*'8'!F22)/1000</f>
        <v>4386.9696000000004</v>
      </c>
      <c r="G17" s="135">
        <f>('5'!$F17*'8'!G22)/1000</f>
        <v>4386.9696000000004</v>
      </c>
      <c r="H17" s="135">
        <f>('5'!$F17*'8'!H22)/1000</f>
        <v>4650.1877760000007</v>
      </c>
      <c r="I17" s="135">
        <f>('5'!$F17*'8'!I22)/1000</f>
        <v>4929.1990425600006</v>
      </c>
      <c r="J17" s="135">
        <f>('5'!$F17*'8'!J22)/1000</f>
        <v>5224.9509851136008</v>
      </c>
      <c r="K17" s="135">
        <f>('5'!$F17*'8'!K22)/1000</f>
        <v>5538.4480442204176</v>
      </c>
    </row>
    <row r="18" spans="1:15" x14ac:dyDescent="0.3">
      <c r="A18" s="41" t="s">
        <v>33</v>
      </c>
      <c r="B18" s="134">
        <f>SUM(B5:B17)</f>
        <v>44000</v>
      </c>
      <c r="C18" s="134">
        <f t="shared" ref="C18:K18" si="0">SUM(C5:C17)</f>
        <v>45760</v>
      </c>
      <c r="D18" s="134">
        <f t="shared" si="0"/>
        <v>47590.399999999994</v>
      </c>
      <c r="E18" s="134">
        <f t="shared" si="0"/>
        <v>49494.015999999996</v>
      </c>
      <c r="F18" s="134">
        <f t="shared" si="0"/>
        <v>51473.776639999996</v>
      </c>
      <c r="G18" s="134">
        <f t="shared" si="0"/>
        <v>51473.776639999996</v>
      </c>
      <c r="H18" s="134">
        <f t="shared" si="0"/>
        <v>54562.203238400005</v>
      </c>
      <c r="I18" s="134">
        <f t="shared" si="0"/>
        <v>57835.935432704013</v>
      </c>
      <c r="J18" s="134">
        <f t="shared" si="0"/>
        <v>61306.091558666267</v>
      </c>
      <c r="K18" s="134">
        <f t="shared" si="0"/>
        <v>64984.457052186226</v>
      </c>
    </row>
    <row r="19" spans="1:15" x14ac:dyDescent="0.3">
      <c r="B19" s="132"/>
      <c r="C19" s="132"/>
      <c r="D19" s="132"/>
      <c r="E19" s="132"/>
      <c r="F19" s="132"/>
      <c r="G19" s="132"/>
      <c r="H19" s="132"/>
    </row>
    <row r="20" spans="1:15" x14ac:dyDescent="0.3">
      <c r="A20" s="50" t="s">
        <v>102</v>
      </c>
      <c r="B20" s="45"/>
      <c r="C20" s="45"/>
      <c r="D20" s="46"/>
      <c r="E20" s="46"/>
      <c r="F20" s="42"/>
      <c r="G20" s="40"/>
      <c r="H20" s="40"/>
    </row>
    <row r="21" spans="1:15" x14ac:dyDescent="0.3">
      <c r="A21" s="138" t="s">
        <v>293</v>
      </c>
      <c r="B21" s="29">
        <v>2011</v>
      </c>
      <c r="C21" s="29">
        <v>2012</v>
      </c>
      <c r="D21" s="29">
        <v>2013</v>
      </c>
      <c r="E21" s="29">
        <v>2014</v>
      </c>
      <c r="F21" s="29">
        <v>2015</v>
      </c>
      <c r="G21" s="29">
        <v>2016</v>
      </c>
      <c r="H21" s="29">
        <v>2017</v>
      </c>
      <c r="I21" s="29">
        <v>2018</v>
      </c>
      <c r="J21" s="29">
        <v>2019</v>
      </c>
      <c r="K21" s="29">
        <v>2020</v>
      </c>
    </row>
    <row r="22" spans="1:15" x14ac:dyDescent="0.3">
      <c r="A22" s="41" t="s">
        <v>32</v>
      </c>
      <c r="B22" s="134">
        <f>('5'!$F21*'8'!B10)/1000</f>
        <v>1250</v>
      </c>
      <c r="C22" s="134">
        <f>('5'!$F21*'8'!C10)/1000</f>
        <v>1300.0000000000002</v>
      </c>
      <c r="D22" s="134">
        <f>('5'!$F21*'8'!D10)/1000</f>
        <v>1352.0000000000002</v>
      </c>
      <c r="E22" s="134">
        <f>('5'!$F21*'8'!E10)/1000</f>
        <v>1406.0800000000004</v>
      </c>
      <c r="F22" s="134">
        <f>('5'!$F21*'8'!F10)/1000</f>
        <v>1462.3232000000005</v>
      </c>
      <c r="G22" s="134">
        <f>('5'!$F21*'8'!G10)/1000</f>
        <v>1462.3232000000005</v>
      </c>
      <c r="H22" s="134">
        <f>('5'!$F21*'8'!H10)/1000</f>
        <v>1550.0625920000004</v>
      </c>
      <c r="I22" s="134">
        <f>('5'!$F21*'8'!I10)/1000</f>
        <v>1643.0663475200006</v>
      </c>
      <c r="J22" s="134">
        <f>('5'!$F21*'8'!J10)/1000</f>
        <v>1741.6503283712007</v>
      </c>
      <c r="K22" s="134">
        <f>('5'!$F21*'8'!K10)/1000</f>
        <v>1846.1493480734728</v>
      </c>
      <c r="O22" s="36"/>
    </row>
    <row r="23" spans="1:15" x14ac:dyDescent="0.3">
      <c r="A23" s="41" t="s">
        <v>41</v>
      </c>
      <c r="B23" s="134">
        <f>('5'!$F22*'8'!B11)/1000</f>
        <v>2500</v>
      </c>
      <c r="C23" s="134">
        <f>('5'!$F22*'8'!C11)/1000</f>
        <v>2600.0000000000005</v>
      </c>
      <c r="D23" s="134">
        <f>('5'!$F22*'8'!D11)/1000</f>
        <v>2704.0000000000005</v>
      </c>
      <c r="E23" s="134">
        <f>('5'!$F22*'8'!E11)/1000</f>
        <v>2812.16</v>
      </c>
      <c r="F23" s="134">
        <f>('5'!$F22*'8'!F11)/1000</f>
        <v>2924.6464000000005</v>
      </c>
      <c r="G23" s="134">
        <f>('5'!$F22*'8'!G11)/1000</f>
        <v>2924.6464000000005</v>
      </c>
      <c r="H23" s="134">
        <f>('5'!$F22*'8'!H11)/1000</f>
        <v>3100.1251840000004</v>
      </c>
      <c r="I23" s="134">
        <f>('5'!$F22*'8'!I11)/1000</f>
        <v>3286.1326950400007</v>
      </c>
      <c r="J23" s="134">
        <f>('5'!$F22*'8'!J11)/1000</f>
        <v>3483.3006567424009</v>
      </c>
      <c r="K23" s="134">
        <f>('5'!$F22*'8'!K11)/1000</f>
        <v>3692.2986961469451</v>
      </c>
      <c r="M23" s="36"/>
      <c r="O23" s="64"/>
    </row>
    <row r="24" spans="1:15" x14ac:dyDescent="0.3">
      <c r="A24" s="41" t="s">
        <v>366</v>
      </c>
      <c r="B24" s="134"/>
      <c r="C24" s="134"/>
      <c r="D24" s="134"/>
      <c r="E24" s="134"/>
      <c r="F24" s="134"/>
      <c r="G24" s="134"/>
      <c r="H24" s="134"/>
      <c r="I24" s="134"/>
      <c r="J24" s="134"/>
      <c r="K24" s="134"/>
    </row>
    <row r="25" spans="1:15" x14ac:dyDescent="0.3">
      <c r="A25" s="41" t="s">
        <v>97</v>
      </c>
      <c r="B25" s="134">
        <f>('5'!$F24*'8'!B13)/1000</f>
        <v>1500</v>
      </c>
      <c r="C25" s="134">
        <f>('5'!$F24*'8'!C13)/1000</f>
        <v>1560</v>
      </c>
      <c r="D25" s="134">
        <f>('5'!$F24*'8'!D13)/1000</f>
        <v>1622.3999999999999</v>
      </c>
      <c r="E25" s="134">
        <f>('5'!$F24*'8'!E13)/1000</f>
        <v>1687.2959999999998</v>
      </c>
      <c r="F25" s="134">
        <f>('5'!$F24*'8'!F13)/1000</f>
        <v>1754.7878400000002</v>
      </c>
      <c r="G25" s="134">
        <f>('5'!$F24*'8'!G13)/1000</f>
        <v>1754.7878400000002</v>
      </c>
      <c r="H25" s="134">
        <f>('5'!$F24*'8'!H13)/1000</f>
        <v>1860.0751104000001</v>
      </c>
      <c r="I25" s="134">
        <f>('5'!$F24*'8'!I13)/1000</f>
        <v>1971.6796170240004</v>
      </c>
      <c r="J25" s="134">
        <f>('5'!$F24*'8'!J13)/1000</f>
        <v>2089.9803940454408</v>
      </c>
      <c r="K25" s="134">
        <f>('5'!$F24*'8'!K13)/1000</f>
        <v>2215.379217688167</v>
      </c>
    </row>
    <row r="26" spans="1:15" x14ac:dyDescent="0.3">
      <c r="A26" s="41" t="s">
        <v>98</v>
      </c>
      <c r="B26" s="134">
        <f>('5'!$F25*'8'!B14)/1000</f>
        <v>1125</v>
      </c>
      <c r="C26" s="134">
        <f>('5'!$F25*'8'!C14)/1000</f>
        <v>1170</v>
      </c>
      <c r="D26" s="134">
        <f>('5'!$F25*'8'!D14)/1000</f>
        <v>1216.8</v>
      </c>
      <c r="E26" s="134">
        <f>('5'!$F25*'8'!E14)/1000</f>
        <v>1265.472</v>
      </c>
      <c r="F26" s="134">
        <f>('5'!$F25*'8'!F14)/1000</f>
        <v>1316.0908800000002</v>
      </c>
      <c r="G26" s="134">
        <f>('5'!$F25*'8'!G14)/1000</f>
        <v>1316.0908800000002</v>
      </c>
      <c r="H26" s="134">
        <f>('5'!$F25*'8'!H14)/1000</f>
        <v>1395.0563328000001</v>
      </c>
      <c r="I26" s="134">
        <f>('5'!$F25*'8'!I14)/1000</f>
        <v>1478.7597127680003</v>
      </c>
      <c r="J26" s="134">
        <f>('5'!$F25*'8'!J14)/1000</f>
        <v>1567.4852955340807</v>
      </c>
      <c r="K26" s="134">
        <f>('5'!$F25*'8'!K14)/1000</f>
        <v>1661.5344132661253</v>
      </c>
    </row>
    <row r="27" spans="1:15" x14ac:dyDescent="0.3">
      <c r="A27" s="41" t="s">
        <v>43</v>
      </c>
      <c r="B27" s="134"/>
      <c r="C27" s="134"/>
      <c r="D27" s="134"/>
      <c r="E27" s="134"/>
      <c r="F27" s="134"/>
      <c r="G27" s="134"/>
      <c r="H27" s="134"/>
      <c r="I27" s="134"/>
      <c r="J27" s="134"/>
      <c r="K27" s="134"/>
    </row>
    <row r="28" spans="1:15" x14ac:dyDescent="0.3">
      <c r="A28" s="41" t="s">
        <v>97</v>
      </c>
      <c r="B28" s="134">
        <f>('5'!$F27*'8'!B16)/1000</f>
        <v>7500</v>
      </c>
      <c r="C28" s="134">
        <f>('5'!$F27*'8'!C16)/1000</f>
        <v>7800</v>
      </c>
      <c r="D28" s="134">
        <f>('5'!$F27*'8'!D16)/1000</f>
        <v>8111.9999999999991</v>
      </c>
      <c r="E28" s="134">
        <f>('5'!$F27*'8'!E16)/1000</f>
        <v>8436.48</v>
      </c>
      <c r="F28" s="134">
        <f>('5'!$F27*'8'!F16)/1000</f>
        <v>8773.9392000000007</v>
      </c>
      <c r="G28" s="134">
        <f>('5'!$F27*'8'!G16)/1000</f>
        <v>8773.9392000000007</v>
      </c>
      <c r="H28" s="134">
        <f>('5'!$F27*'8'!H16)/1000</f>
        <v>9300.3755520000013</v>
      </c>
      <c r="I28" s="134">
        <f>('5'!$F27*'8'!I16)/1000</f>
        <v>9858.3980851200013</v>
      </c>
      <c r="J28" s="134">
        <f>('5'!$F27*'8'!J16)/1000</f>
        <v>10449.901970227203</v>
      </c>
      <c r="K28" s="134">
        <f>('5'!$F27*'8'!K16)/1000</f>
        <v>11076.896088440835</v>
      </c>
    </row>
    <row r="29" spans="1:15" x14ac:dyDescent="0.3">
      <c r="A29" s="41" t="s">
        <v>98</v>
      </c>
      <c r="B29" s="134">
        <f>('5'!$F28*'8'!B17)/1000</f>
        <v>4500</v>
      </c>
      <c r="C29" s="134">
        <f>('5'!$F28*'8'!C17)/1000</f>
        <v>4680</v>
      </c>
      <c r="D29" s="134">
        <f>('5'!$F28*'8'!D17)/1000</f>
        <v>4867.2</v>
      </c>
      <c r="E29" s="134">
        <f>('5'!$F28*'8'!E17)/1000</f>
        <v>5061.8879999999999</v>
      </c>
      <c r="F29" s="134">
        <f>('5'!$F28*'8'!F17)/1000</f>
        <v>5264.3635200000008</v>
      </c>
      <c r="G29" s="134">
        <f>('5'!$F28*'8'!G17)/1000</f>
        <v>5264.3635200000008</v>
      </c>
      <c r="H29" s="134">
        <f>('5'!$F28*'8'!H17)/1000</f>
        <v>5580.2253312000003</v>
      </c>
      <c r="I29" s="134">
        <f>('5'!$F28*'8'!I17)/1000</f>
        <v>5915.0388510720013</v>
      </c>
      <c r="J29" s="134">
        <f>('5'!$F28*'8'!J17)/1000</f>
        <v>6269.9411821363228</v>
      </c>
      <c r="K29" s="134">
        <f>('5'!$F28*'8'!K17)/1000</f>
        <v>6646.1376530645011</v>
      </c>
    </row>
    <row r="30" spans="1:15" x14ac:dyDescent="0.3">
      <c r="A30" s="41" t="s">
        <v>46</v>
      </c>
      <c r="B30" s="134"/>
      <c r="C30" s="134"/>
      <c r="D30" s="134"/>
      <c r="E30" s="134"/>
      <c r="F30" s="134"/>
      <c r="G30" s="134"/>
      <c r="H30" s="134"/>
      <c r="I30" s="134"/>
      <c r="J30" s="134"/>
      <c r="K30" s="134"/>
    </row>
    <row r="31" spans="1:15" x14ac:dyDescent="0.3">
      <c r="A31" s="41" t="s">
        <v>97</v>
      </c>
      <c r="B31" s="134">
        <f>('5'!$F30*'8'!B19)/1000</f>
        <v>6000</v>
      </c>
      <c r="C31" s="134">
        <f>('5'!$F30*'8'!C19)/1000</f>
        <v>6240</v>
      </c>
      <c r="D31" s="134">
        <f>('5'!$F30*'8'!D19)/1000</f>
        <v>6489.5999999999995</v>
      </c>
      <c r="E31" s="134">
        <f>('5'!$F30*'8'!E19)/1000</f>
        <v>6749.1839999999993</v>
      </c>
      <c r="F31" s="134">
        <f>('5'!$F30*'8'!F19)/1000</f>
        <v>7019.1513600000008</v>
      </c>
      <c r="G31" s="134">
        <f>('5'!$F30*'8'!G19)/1000</f>
        <v>7019.1513600000008</v>
      </c>
      <c r="H31" s="134">
        <f>('5'!$F30*'8'!H19)/1000</f>
        <v>7440.3004416000003</v>
      </c>
      <c r="I31" s="134">
        <f>('5'!$F30*'8'!I19)/1000</f>
        <v>7886.7184680960017</v>
      </c>
      <c r="J31" s="134">
        <f>('5'!$F30*'8'!J19)/1000</f>
        <v>8359.9215761817632</v>
      </c>
      <c r="K31" s="134">
        <f>('5'!$F30*'8'!K19)/1000</f>
        <v>8861.5168707526682</v>
      </c>
    </row>
    <row r="32" spans="1:15" x14ac:dyDescent="0.3">
      <c r="A32" s="41" t="s">
        <v>98</v>
      </c>
      <c r="B32" s="134">
        <f>('5'!$F31*'8'!B20)/1000</f>
        <v>4500</v>
      </c>
      <c r="C32" s="134">
        <f>('5'!$F31*'8'!C20)/1000</f>
        <v>4680</v>
      </c>
      <c r="D32" s="134">
        <f>('5'!$F31*'8'!D20)/1000</f>
        <v>4867.2</v>
      </c>
      <c r="E32" s="134">
        <f>('5'!$F31*'8'!E20)/1000</f>
        <v>5061.8879999999999</v>
      </c>
      <c r="F32" s="134">
        <f>('5'!$F31*'8'!F20)/1000</f>
        <v>5264.3635200000008</v>
      </c>
      <c r="G32" s="134">
        <f>('5'!$F31*'8'!G20)/1000</f>
        <v>5264.3635200000008</v>
      </c>
      <c r="H32" s="134">
        <f>('5'!$F31*'8'!H20)/1000</f>
        <v>5580.2253312000003</v>
      </c>
      <c r="I32" s="134">
        <f>('5'!$F31*'8'!I20)/1000</f>
        <v>5915.0388510720013</v>
      </c>
      <c r="J32" s="134">
        <f>('5'!$F31*'8'!J20)/1000</f>
        <v>6269.9411821363228</v>
      </c>
      <c r="K32" s="134">
        <f>('5'!$F31*'8'!K20)/1000</f>
        <v>6646.1376530645011</v>
      </c>
    </row>
    <row r="33" spans="1:11" x14ac:dyDescent="0.3">
      <c r="A33" s="41" t="s">
        <v>44</v>
      </c>
      <c r="B33" s="134">
        <f>('5'!$F32*'8'!B21)/1000</f>
        <v>2500</v>
      </c>
      <c r="C33" s="134">
        <f>('5'!$F32*'8'!C21)/1000</f>
        <v>2600.0000000000005</v>
      </c>
      <c r="D33" s="134">
        <f>('5'!$F32*'8'!D21)/1000</f>
        <v>2704.0000000000005</v>
      </c>
      <c r="E33" s="134">
        <f>('5'!$F32*'8'!E21)/1000</f>
        <v>2812.16</v>
      </c>
      <c r="F33" s="134">
        <f>('5'!$F32*'8'!F21)/1000</f>
        <v>2924.6464000000005</v>
      </c>
      <c r="G33" s="134">
        <f>('5'!$F32*'8'!G21)/1000</f>
        <v>2924.6464000000005</v>
      </c>
      <c r="H33" s="134">
        <f>('5'!$F32*'8'!H21)/1000</f>
        <v>3100.1251840000004</v>
      </c>
      <c r="I33" s="134">
        <f>('5'!$F32*'8'!I21)/1000</f>
        <v>3286.1326950400007</v>
      </c>
      <c r="J33" s="134">
        <f>('5'!$F32*'8'!J21)/1000</f>
        <v>3483.3006567424009</v>
      </c>
      <c r="K33" s="134">
        <f>('5'!$F32*'8'!K21)/1000</f>
        <v>3692.2986961469451</v>
      </c>
    </row>
    <row r="34" spans="1:11" x14ac:dyDescent="0.3">
      <c r="A34" s="60" t="s">
        <v>60</v>
      </c>
      <c r="B34" s="135">
        <f>('5'!$F33*'8'!B22)/1000</f>
        <v>2500</v>
      </c>
      <c r="C34" s="135">
        <f>('5'!$F33*'8'!C22)/1000</f>
        <v>2600.0000000000005</v>
      </c>
      <c r="D34" s="135">
        <f>('5'!$F33*'8'!D22)/1000</f>
        <v>2704.0000000000005</v>
      </c>
      <c r="E34" s="135">
        <f>('5'!$F33*'8'!E22)/1000</f>
        <v>2812.16</v>
      </c>
      <c r="F34" s="135">
        <f>('5'!$F33*'8'!F22)/1000</f>
        <v>2924.6464000000005</v>
      </c>
      <c r="G34" s="135">
        <f>('5'!$F33*'8'!G22)/1000</f>
        <v>2924.6464000000005</v>
      </c>
      <c r="H34" s="135">
        <f>('5'!$F33*'8'!H22)/1000</f>
        <v>3100.1251840000004</v>
      </c>
      <c r="I34" s="135">
        <f>('5'!$F33*'8'!I22)/1000</f>
        <v>3286.1326950400007</v>
      </c>
      <c r="J34" s="135">
        <f>('5'!$F33*'8'!J22)/1000</f>
        <v>3483.3006567424009</v>
      </c>
      <c r="K34" s="135">
        <f>('5'!$F33*'8'!K22)/1000</f>
        <v>3692.2986961469451</v>
      </c>
    </row>
    <row r="35" spans="1:11" x14ac:dyDescent="0.3">
      <c r="A35" s="41" t="s">
        <v>33</v>
      </c>
      <c r="B35" s="134">
        <f>SUM(B22:B34)</f>
        <v>33875</v>
      </c>
      <c r="C35" s="134">
        <f t="shared" ref="C35" si="1">SUM(C22:C34)</f>
        <v>35230</v>
      </c>
      <c r="D35" s="134">
        <f t="shared" ref="D35" si="2">SUM(D22:D34)</f>
        <v>36639.200000000004</v>
      </c>
      <c r="E35" s="134">
        <f t="shared" ref="E35" si="3">SUM(E22:E34)</f>
        <v>38104.767999999996</v>
      </c>
      <c r="F35" s="134">
        <f t="shared" ref="F35" si="4">SUM(F22:F34)</f>
        <v>39628.958720000002</v>
      </c>
      <c r="G35" s="134">
        <f t="shared" ref="G35" si="5">SUM(G22:G34)</f>
        <v>39628.958720000002</v>
      </c>
      <c r="H35" s="134">
        <f t="shared" ref="H35" si="6">SUM(H22:H34)</f>
        <v>42006.696243200015</v>
      </c>
      <c r="I35" s="134">
        <f t="shared" ref="I35" si="7">SUM(I22:I34)</f>
        <v>44527.098017792014</v>
      </c>
      <c r="J35" s="134">
        <f t="shared" ref="J35" si="8">SUM(J22:J34)</f>
        <v>47198.723898859542</v>
      </c>
      <c r="K35" s="134">
        <f t="shared" ref="K35" si="9">SUM(K22:K34)</f>
        <v>50030.647332791101</v>
      </c>
    </row>
    <row r="36" spans="1:11" x14ac:dyDescent="0.3">
      <c r="A36" s="41"/>
      <c r="B36" s="134"/>
      <c r="C36" s="134"/>
      <c r="D36" s="134"/>
      <c r="E36" s="134"/>
      <c r="F36" s="134"/>
      <c r="G36" s="134"/>
      <c r="H36" s="134"/>
      <c r="I36" s="134"/>
      <c r="J36" s="134"/>
      <c r="K36" s="134"/>
    </row>
    <row r="37" spans="1:11" x14ac:dyDescent="0.3">
      <c r="A37" s="50" t="s">
        <v>104</v>
      </c>
      <c r="B37" s="45"/>
      <c r="C37" s="45"/>
      <c r="D37" s="46"/>
      <c r="E37" s="46"/>
      <c r="F37" s="42"/>
      <c r="G37" s="40"/>
      <c r="H37" s="40"/>
    </row>
    <row r="38" spans="1:11" x14ac:dyDescent="0.3">
      <c r="A38" s="20" t="s">
        <v>47</v>
      </c>
      <c r="B38" s="29">
        <v>2011</v>
      </c>
      <c r="C38" s="29">
        <v>2012</v>
      </c>
      <c r="D38" s="29">
        <v>2013</v>
      </c>
      <c r="E38" s="29">
        <v>2014</v>
      </c>
      <c r="F38" s="29">
        <v>2015</v>
      </c>
      <c r="G38" s="29">
        <v>2016</v>
      </c>
      <c r="H38" s="29">
        <v>2017</v>
      </c>
      <c r="I38" s="29">
        <v>2018</v>
      </c>
      <c r="J38" s="29">
        <v>2019</v>
      </c>
      <c r="K38" s="29">
        <v>2020</v>
      </c>
    </row>
    <row r="39" spans="1:11" x14ac:dyDescent="0.3">
      <c r="A39" s="41" t="s">
        <v>32</v>
      </c>
      <c r="B39" s="134">
        <v>0</v>
      </c>
      <c r="C39" s="134">
        <f>(SUM('8'!$B10:B10)*'5'!$F21)/1000</f>
        <v>1250</v>
      </c>
      <c r="D39" s="134">
        <f>(SUM('8'!$B10:C10)*'5'!$F21)/1000</f>
        <v>2550</v>
      </c>
      <c r="E39" s="134">
        <f>(SUM('8'!$B10:D10)*'5'!$F21)/1000</f>
        <v>3902.0000000000005</v>
      </c>
      <c r="F39" s="134">
        <f>(SUM('8'!$B10:E10)*'5'!$F21)/1000</f>
        <v>5308.0800000000008</v>
      </c>
      <c r="G39" s="134">
        <f>(SUM('8'!$B10:F10)*'5'!$F21)/1000</f>
        <v>6770.4032000000016</v>
      </c>
      <c r="H39" s="134">
        <f>(SUM('8'!$B10:G10)*'5'!$F21)/1000</f>
        <v>8232.7264000000014</v>
      </c>
      <c r="I39" s="134">
        <f>(SUM('8'!$B10:H10)*'5'!$F21)/1000</f>
        <v>9782.7889920000016</v>
      </c>
      <c r="J39" s="134">
        <f>(SUM('8'!$B10:I10)*'5'!$F21)/1000</f>
        <v>11425.855339520002</v>
      </c>
      <c r="K39" s="134">
        <f>(SUM('8'!$B10:J10)*'5'!$F21)/1000</f>
        <v>13167.505667891202</v>
      </c>
    </row>
    <row r="40" spans="1:11" x14ac:dyDescent="0.3">
      <c r="A40" s="41" t="s">
        <v>41</v>
      </c>
      <c r="B40" s="134">
        <v>0</v>
      </c>
      <c r="C40" s="134">
        <f>(SUM('8'!$B11:B11)*'5'!$F22)/1000</f>
        <v>2500</v>
      </c>
      <c r="D40" s="134">
        <f>(SUM('8'!$B11:C11)*'5'!$F22)/1000</f>
        <v>5100.0000000000009</v>
      </c>
      <c r="E40" s="134">
        <f>(SUM('8'!$B11:D11)*'5'!$F22)/1000</f>
        <v>7804.0000000000009</v>
      </c>
      <c r="F40" s="134">
        <f>(SUM('8'!$B11:E11)*'5'!$F22)/1000</f>
        <v>10616.16</v>
      </c>
      <c r="G40" s="134">
        <f>(SUM('8'!$B11:F11)*'5'!$F22)/1000</f>
        <v>13540.806400000003</v>
      </c>
      <c r="H40" s="134">
        <f>(SUM('8'!$B11:G11)*'5'!$F22)/1000</f>
        <v>16465.452800000003</v>
      </c>
      <c r="I40" s="134">
        <f>(SUM('8'!$B11:H11)*'5'!$F22)/1000</f>
        <v>19565.577984000003</v>
      </c>
      <c r="J40" s="134">
        <f>(SUM('8'!$B11:I11)*'5'!$F22)/1000</f>
        <v>22851.710679040007</v>
      </c>
      <c r="K40" s="134">
        <f>(SUM('8'!$B11:J11)*'5'!$F22)/1000</f>
        <v>26335.011335782405</v>
      </c>
    </row>
    <row r="41" spans="1:11" x14ac:dyDescent="0.3">
      <c r="A41" s="41" t="s">
        <v>366</v>
      </c>
      <c r="B41" s="134"/>
      <c r="C41" s="134"/>
      <c r="D41" s="134"/>
      <c r="E41" s="134"/>
      <c r="F41" s="134"/>
      <c r="G41" s="134"/>
      <c r="H41" s="134"/>
      <c r="I41" s="134"/>
      <c r="J41" s="134"/>
      <c r="K41" s="134"/>
    </row>
    <row r="42" spans="1:11" x14ac:dyDescent="0.3">
      <c r="A42" s="41" t="s">
        <v>97</v>
      </c>
      <c r="B42" s="134">
        <v>0</v>
      </c>
      <c r="C42" s="134">
        <f>(SUM('8'!$B13:B13)*'5'!$F24)/1000</f>
        <v>1500</v>
      </c>
      <c r="D42" s="134">
        <f>(SUM('8'!$B13:C13)*'5'!$F24)/1000</f>
        <v>3060</v>
      </c>
      <c r="E42" s="134">
        <f>(SUM('8'!$B13:D13)*'5'!$F24)/1000</f>
        <v>4682.3999999999996</v>
      </c>
      <c r="F42" s="134">
        <f>(SUM('8'!$B13:E13)*'5'!$F24)/1000</f>
        <v>6369.6959999999999</v>
      </c>
      <c r="G42" s="134">
        <f>(SUM('8'!$B13:F13)*'5'!$F24)/1000</f>
        <v>8124.4838399999999</v>
      </c>
      <c r="H42" s="134">
        <f>(SUM('8'!$B13:G13)*'5'!$F24)/1000</f>
        <v>9879.2716799999998</v>
      </c>
      <c r="I42" s="134">
        <f>(SUM('8'!$B13:H13)*'5'!$F24)/1000</f>
        <v>11739.346790399999</v>
      </c>
      <c r="J42" s="134">
        <f>(SUM('8'!$B13:I13)*'5'!$F24)/1000</f>
        <v>13711.026407424</v>
      </c>
      <c r="K42" s="134">
        <f>(SUM('8'!$B13:J13)*'5'!$F24)/1000</f>
        <v>15801.006801469441</v>
      </c>
    </row>
    <row r="43" spans="1:11" x14ac:dyDescent="0.3">
      <c r="A43" s="41" t="s">
        <v>98</v>
      </c>
      <c r="B43" s="134">
        <v>0</v>
      </c>
      <c r="C43" s="134">
        <f>(SUM('8'!$B14:B14)*'5'!$F25)/1000</f>
        <v>1125</v>
      </c>
      <c r="D43" s="134">
        <f>(SUM('8'!$B14:C14)*'5'!$F25)/1000</f>
        <v>2295</v>
      </c>
      <c r="E43" s="134">
        <f>(SUM('8'!$B14:D14)*'5'!$F25)/1000</f>
        <v>3511.8</v>
      </c>
      <c r="F43" s="134">
        <f>(SUM('8'!$B14:E14)*'5'!$F25)/1000</f>
        <v>4777.2719999999999</v>
      </c>
      <c r="G43" s="134">
        <f>(SUM('8'!$B14:F14)*'5'!$F25)/1000</f>
        <v>6093.3628800000006</v>
      </c>
      <c r="H43" s="134">
        <f>(SUM('8'!$B14:G14)*'5'!$F25)/1000</f>
        <v>7409.4537600000003</v>
      </c>
      <c r="I43" s="134">
        <f>(SUM('8'!$B14:H14)*'5'!$F25)/1000</f>
        <v>8804.5100928000011</v>
      </c>
      <c r="J43" s="134">
        <f>(SUM('8'!$B14:I14)*'5'!$F25)/1000</f>
        <v>10283.269805568001</v>
      </c>
      <c r="K43" s="134">
        <f>(SUM('8'!$B14:J14)*'5'!$F25)/1000</f>
        <v>11850.755101102082</v>
      </c>
    </row>
    <row r="44" spans="1:11" x14ac:dyDescent="0.3">
      <c r="A44" s="41" t="s">
        <v>43</v>
      </c>
      <c r="B44" s="134"/>
      <c r="C44" s="134"/>
      <c r="D44" s="134"/>
      <c r="E44" s="134"/>
      <c r="F44" s="134"/>
      <c r="G44" s="134"/>
      <c r="H44" s="134"/>
      <c r="I44" s="134"/>
      <c r="J44" s="134"/>
      <c r="K44" s="134"/>
    </row>
    <row r="45" spans="1:11" x14ac:dyDescent="0.3">
      <c r="A45" s="41" t="s">
        <v>97</v>
      </c>
      <c r="B45" s="134">
        <v>0</v>
      </c>
      <c r="C45" s="134">
        <f>(SUM('8'!$B16:B16)*'5'!$F27)/1000</f>
        <v>7500</v>
      </c>
      <c r="D45" s="134">
        <f>(SUM('8'!$B16:C16)*'5'!$F27)/1000</f>
        <v>15300</v>
      </c>
      <c r="E45" s="134">
        <f>(SUM('8'!$B16:D16)*'5'!$F27)/1000</f>
        <v>23412</v>
      </c>
      <c r="F45" s="134">
        <f>(SUM('8'!$B16:E16)*'5'!$F27)/1000</f>
        <v>31848.48</v>
      </c>
      <c r="G45" s="134">
        <f>(SUM('8'!$B16:F16)*'5'!$F27)/1000</f>
        <v>40622.419200000004</v>
      </c>
      <c r="H45" s="134">
        <f>(SUM('8'!$B16:G16)*'5'!$F27)/1000</f>
        <v>49396.358399999997</v>
      </c>
      <c r="I45" s="134">
        <f>(SUM('8'!$B16:H16)*'5'!$F27)/1000</f>
        <v>58696.733951999995</v>
      </c>
      <c r="J45" s="134">
        <f>(SUM('8'!$B16:I16)*'5'!$F27)/1000</f>
        <v>68555.132037119998</v>
      </c>
      <c r="K45" s="134">
        <f>(SUM('8'!$B16:J16)*'5'!$F27)/1000</f>
        <v>79005.034007347203</v>
      </c>
    </row>
    <row r="46" spans="1:11" x14ac:dyDescent="0.3">
      <c r="A46" s="41" t="s">
        <v>98</v>
      </c>
      <c r="B46" s="134">
        <v>0</v>
      </c>
      <c r="C46" s="134">
        <f>(SUM('8'!$B17:B17)*'5'!$F28)/1000</f>
        <v>4500</v>
      </c>
      <c r="D46" s="134">
        <f>(SUM('8'!$B17:C17)*'5'!$F28)/1000</f>
        <v>9180</v>
      </c>
      <c r="E46" s="134">
        <f>(SUM('8'!$B17:D17)*'5'!$F28)/1000</f>
        <v>14047.2</v>
      </c>
      <c r="F46" s="134">
        <f>(SUM('8'!$B17:E17)*'5'!$F28)/1000</f>
        <v>19109.088</v>
      </c>
      <c r="G46" s="134">
        <f>(SUM('8'!$B17:F17)*'5'!$F28)/1000</f>
        <v>24373.451520000002</v>
      </c>
      <c r="H46" s="134">
        <f>(SUM('8'!$B17:G17)*'5'!$F28)/1000</f>
        <v>29637.815040000001</v>
      </c>
      <c r="I46" s="134">
        <f>(SUM('8'!$B17:H17)*'5'!$F28)/1000</f>
        <v>35218.040371200004</v>
      </c>
      <c r="J46" s="134">
        <f>(SUM('8'!$B17:I17)*'5'!$F28)/1000</f>
        <v>41133.079222272005</v>
      </c>
      <c r="K46" s="134">
        <f>(SUM('8'!$B17:J17)*'5'!$F28)/1000</f>
        <v>47403.020404408329</v>
      </c>
    </row>
    <row r="47" spans="1:11" x14ac:dyDescent="0.3">
      <c r="A47" s="41" t="s">
        <v>46</v>
      </c>
      <c r="B47" s="134"/>
      <c r="C47" s="134"/>
      <c r="D47" s="134"/>
      <c r="E47" s="134"/>
      <c r="F47" s="134"/>
      <c r="G47" s="134"/>
      <c r="H47" s="134"/>
      <c r="I47" s="134"/>
      <c r="J47" s="134"/>
      <c r="K47" s="134"/>
    </row>
    <row r="48" spans="1:11" x14ac:dyDescent="0.3">
      <c r="A48" s="41" t="s">
        <v>97</v>
      </c>
      <c r="B48" s="134">
        <v>0</v>
      </c>
      <c r="C48" s="134">
        <f>(SUM('8'!$B19:B19)*'5'!$F30)/1000</f>
        <v>6000</v>
      </c>
      <c r="D48" s="134">
        <f>(SUM('8'!$B19:C19)*'5'!$F30)/1000</f>
        <v>12240</v>
      </c>
      <c r="E48" s="134">
        <f>(SUM('8'!$B19:D19)*'5'!$F30)/1000</f>
        <v>18729.599999999999</v>
      </c>
      <c r="F48" s="134">
        <f>(SUM('8'!$B19:E19)*'5'!$F30)/1000</f>
        <v>25478.784</v>
      </c>
      <c r="G48" s="134">
        <f>(SUM('8'!$B19:F19)*'5'!$F30)/1000</f>
        <v>32497.935359999999</v>
      </c>
      <c r="H48" s="134">
        <f>(SUM('8'!$B19:G19)*'5'!$F30)/1000</f>
        <v>39517.086719999999</v>
      </c>
      <c r="I48" s="134">
        <f>(SUM('8'!$B19:H19)*'5'!$F30)/1000</f>
        <v>46957.387161599996</v>
      </c>
      <c r="J48" s="134">
        <f>(SUM('8'!$B19:I19)*'5'!$F30)/1000</f>
        <v>54844.105629696001</v>
      </c>
      <c r="K48" s="134">
        <f>(SUM('8'!$B19:J19)*'5'!$F30)/1000</f>
        <v>63204.027205877763</v>
      </c>
    </row>
    <row r="49" spans="1:11" x14ac:dyDescent="0.3">
      <c r="A49" s="41" t="s">
        <v>98</v>
      </c>
      <c r="B49" s="134">
        <v>0</v>
      </c>
      <c r="C49" s="134">
        <f>(SUM('8'!$B20:B20)*'5'!$F31)/1000</f>
        <v>4500</v>
      </c>
      <c r="D49" s="134">
        <f>(SUM('8'!$B20:C20)*'5'!$F31)/1000</f>
        <v>9180</v>
      </c>
      <c r="E49" s="134">
        <f>(SUM('8'!$B20:D20)*'5'!$F31)/1000</f>
        <v>14047.2</v>
      </c>
      <c r="F49" s="134">
        <f>(SUM('8'!$B20:E20)*'5'!$F31)/1000</f>
        <v>19109.088</v>
      </c>
      <c r="G49" s="134">
        <f>(SUM('8'!$B20:F20)*'5'!$F31)/1000</f>
        <v>24373.451520000002</v>
      </c>
      <c r="H49" s="134">
        <f>(SUM('8'!$B20:G20)*'5'!$F31)/1000</f>
        <v>29637.815040000001</v>
      </c>
      <c r="I49" s="134">
        <f>(SUM('8'!$B20:H20)*'5'!$F31)/1000</f>
        <v>35218.040371200004</v>
      </c>
      <c r="J49" s="134">
        <f>(SUM('8'!$B20:I20)*'5'!$F31)/1000</f>
        <v>41133.079222272005</v>
      </c>
      <c r="K49" s="134">
        <f>(SUM('8'!$B20:J20)*'5'!$F31)/1000</f>
        <v>47403.020404408329</v>
      </c>
    </row>
    <row r="50" spans="1:11" x14ac:dyDescent="0.3">
      <c r="A50" s="41" t="s">
        <v>44</v>
      </c>
      <c r="B50" s="134">
        <v>0</v>
      </c>
      <c r="C50" s="134">
        <f>(SUM('8'!$B21:B21)*'5'!$F32)/1000</f>
        <v>2500</v>
      </c>
      <c r="D50" s="134">
        <f>(SUM('8'!$B21:C21)*'5'!$F32)/1000</f>
        <v>5100.0000000000009</v>
      </c>
      <c r="E50" s="134">
        <f>(SUM('8'!$B21:D21)*'5'!$F32)/1000</f>
        <v>7804.0000000000009</v>
      </c>
      <c r="F50" s="134">
        <f>(SUM('8'!$B21:E21)*'5'!$F32)/1000</f>
        <v>10616.16</v>
      </c>
      <c r="G50" s="134">
        <f>(SUM('8'!$B21:F21)*'5'!$F32)/1000</f>
        <v>13540.806400000003</v>
      </c>
      <c r="H50" s="134">
        <f>(SUM('8'!$B21:G21)*'5'!$F32)/1000</f>
        <v>16465.452800000003</v>
      </c>
      <c r="I50" s="134">
        <f>(SUM('8'!$B21:H21)*'5'!$F32)/1000</f>
        <v>19565.577984000003</v>
      </c>
      <c r="J50" s="134">
        <f>(SUM('8'!$B21:I21)*'5'!$F32)/1000</f>
        <v>22851.710679040007</v>
      </c>
      <c r="K50" s="134">
        <f>(SUM('8'!$B21:J21)*'5'!$F32)/1000</f>
        <v>26335.011335782405</v>
      </c>
    </row>
    <row r="51" spans="1:11" x14ac:dyDescent="0.3">
      <c r="A51" s="60" t="s">
        <v>60</v>
      </c>
      <c r="B51" s="135">
        <v>0</v>
      </c>
      <c r="C51" s="135">
        <f>(SUM('8'!$B22:B22)*'5'!$F33)/1000</f>
        <v>2500</v>
      </c>
      <c r="D51" s="135">
        <f>(SUM('8'!$B22:C22)*'5'!$F33)/1000</f>
        <v>5100.0000000000009</v>
      </c>
      <c r="E51" s="135">
        <f>(SUM('8'!$B22:D22)*'5'!$F33)/1000</f>
        <v>7804.0000000000009</v>
      </c>
      <c r="F51" s="135">
        <f>(SUM('8'!$B22:E22)*'5'!$F33)/1000</f>
        <v>10616.16</v>
      </c>
      <c r="G51" s="135">
        <f>(SUM('8'!$B22:F22)*'5'!$F33)/1000</f>
        <v>13540.806400000003</v>
      </c>
      <c r="H51" s="135">
        <f>(SUM('8'!$B22:G22)*'5'!$F33)/1000</f>
        <v>16465.452800000003</v>
      </c>
      <c r="I51" s="135">
        <f>(SUM('8'!$B22:H22)*'5'!$F33)/1000</f>
        <v>19565.577984000003</v>
      </c>
      <c r="J51" s="135">
        <f>(SUM('8'!$B22:I22)*'5'!$F33)/1000</f>
        <v>22851.710679040007</v>
      </c>
      <c r="K51" s="135">
        <f>(SUM('8'!$B22:J22)*'5'!$F33)/1000</f>
        <v>26335.011335782405</v>
      </c>
    </row>
    <row r="52" spans="1:11" x14ac:dyDescent="0.3">
      <c r="A52" s="37" t="s">
        <v>33</v>
      </c>
      <c r="B52" s="136">
        <f t="shared" ref="B52:K52" si="10">SUM(B39:B51)</f>
        <v>0</v>
      </c>
      <c r="C52" s="53">
        <f t="shared" si="10"/>
        <v>33875</v>
      </c>
      <c r="D52" s="53">
        <f t="shared" si="10"/>
        <v>69105</v>
      </c>
      <c r="E52" s="53">
        <f t="shared" si="10"/>
        <v>105744.2</v>
      </c>
      <c r="F52" s="53">
        <f t="shared" si="10"/>
        <v>143848.96799999999</v>
      </c>
      <c r="G52" s="53">
        <f t="shared" si="10"/>
        <v>183477.92672000002</v>
      </c>
      <c r="H52" s="53">
        <f t="shared" si="10"/>
        <v>223106.88543999998</v>
      </c>
      <c r="I52" s="53">
        <f t="shared" si="10"/>
        <v>265113.58168320003</v>
      </c>
      <c r="J52" s="53">
        <f t="shared" si="10"/>
        <v>309640.67970099207</v>
      </c>
      <c r="K52" s="53">
        <f t="shared" si="10"/>
        <v>356839.40359985159</v>
      </c>
    </row>
    <row r="53" spans="1:11" x14ac:dyDescent="0.3">
      <c r="A53" s="40"/>
      <c r="B53" s="40"/>
      <c r="C53" s="34"/>
      <c r="F53" s="42"/>
      <c r="G53" s="40"/>
      <c r="H53" s="40"/>
    </row>
    <row r="54" spans="1:11" x14ac:dyDescent="0.3">
      <c r="A54" t="s">
        <v>33</v>
      </c>
      <c r="B54" s="136">
        <f>B18+B35+B52</f>
        <v>77875</v>
      </c>
      <c r="C54" s="136">
        <f t="shared" ref="C54:K54" si="11">C18+C35+C52</f>
        <v>114865</v>
      </c>
      <c r="D54" s="136">
        <f t="shared" si="11"/>
        <v>153334.6</v>
      </c>
      <c r="E54" s="136">
        <f t="shared" si="11"/>
        <v>193342.984</v>
      </c>
      <c r="F54" s="136">
        <f t="shared" si="11"/>
        <v>234951.70335999998</v>
      </c>
      <c r="G54" s="136">
        <f t="shared" si="11"/>
        <v>274580.66208000004</v>
      </c>
      <c r="H54" s="136">
        <f t="shared" si="11"/>
        <v>319675.78492160002</v>
      </c>
      <c r="I54" s="136">
        <f t="shared" si="11"/>
        <v>367476.61513369606</v>
      </c>
      <c r="J54" s="136">
        <f t="shared" si="11"/>
        <v>418145.49515851785</v>
      </c>
      <c r="K54" s="136">
        <f t="shared" si="11"/>
        <v>471854.5079848289</v>
      </c>
    </row>
  </sheetData>
  <hyperlinks>
    <hyperlink ref="B1" location="Index!A1" display="Back to Index"/>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23"/>
  <sheetViews>
    <sheetView zoomScale="90" zoomScaleNormal="90" workbookViewId="0">
      <selection activeCell="B4" sqref="B4:K4"/>
    </sheetView>
  </sheetViews>
  <sheetFormatPr defaultRowHeight="14.4" x14ac:dyDescent="0.3"/>
  <cols>
    <col min="1" max="1" width="36.5546875" customWidth="1"/>
    <col min="2" max="2" width="10.5546875" customWidth="1"/>
    <col min="3" max="11" width="10.6640625" customWidth="1"/>
  </cols>
  <sheetData>
    <row r="1" spans="1:11" x14ac:dyDescent="0.3">
      <c r="A1" s="49" t="s">
        <v>147</v>
      </c>
      <c r="B1" s="59" t="s">
        <v>59</v>
      </c>
    </row>
    <row r="3" spans="1:11" x14ac:dyDescent="0.3">
      <c r="A3" s="51" t="s">
        <v>99</v>
      </c>
      <c r="B3" s="40"/>
      <c r="C3" s="34"/>
      <c r="F3" s="42"/>
      <c r="G3" s="40"/>
      <c r="H3" s="40"/>
    </row>
    <row r="4" spans="1:11" x14ac:dyDescent="0.3">
      <c r="A4" s="20" t="s">
        <v>288</v>
      </c>
      <c r="B4" s="29">
        <v>2011</v>
      </c>
      <c r="C4" s="29">
        <v>2012</v>
      </c>
      <c r="D4" s="29">
        <v>2013</v>
      </c>
      <c r="E4" s="29">
        <v>2014</v>
      </c>
      <c r="F4" s="29">
        <v>2015</v>
      </c>
      <c r="G4" s="29">
        <v>2016</v>
      </c>
      <c r="H4" s="29">
        <v>2017</v>
      </c>
      <c r="I4" s="29">
        <v>2018</v>
      </c>
      <c r="J4" s="29">
        <v>2019</v>
      </c>
      <c r="K4" s="29">
        <v>2020</v>
      </c>
    </row>
    <row r="5" spans="1:11" x14ac:dyDescent="0.3">
      <c r="A5" s="41" t="s">
        <v>32</v>
      </c>
      <c r="B5" s="54">
        <f>('9'!B5+'9'!B22+'9'!B39)/1000</f>
        <v>3.25</v>
      </c>
      <c r="C5" s="54">
        <f>('9'!C5+'9'!C22+'9'!C39)/1000</f>
        <v>4.6300000000000008</v>
      </c>
      <c r="D5" s="54">
        <f>('9'!D5+'9'!D22+'9'!D39)/1000</f>
        <v>6.0652000000000008</v>
      </c>
      <c r="E5" s="54">
        <f>('9'!E5+'9'!E22+'9'!E39)/1000</f>
        <v>7.5578080000000005</v>
      </c>
      <c r="F5" s="54">
        <f>('9'!F5+'9'!F22+'9'!F39)/1000</f>
        <v>9.1101203200000018</v>
      </c>
      <c r="G5" s="54">
        <f>('9'!G5+'9'!G22+'9'!G39)/1000</f>
        <v>10.572443520000002</v>
      </c>
      <c r="H5" s="54">
        <f>('9'!H5+'9'!H22+'9'!H39)/1000</f>
        <v>12.262889139200002</v>
      </c>
      <c r="I5" s="54">
        <f>('9'!I5+'9'!I22+'9'!I39)/1000</f>
        <v>14.054761495552004</v>
      </c>
      <c r="J5" s="54">
        <f>('9'!J5+'9'!J22+'9'!J39)/1000</f>
        <v>15.954146193285123</v>
      </c>
      <c r="K5" s="54">
        <f>('9'!K5+'9'!K22+'9'!K39)/1000</f>
        <v>17.967493972882231</v>
      </c>
    </row>
    <row r="6" spans="1:11" x14ac:dyDescent="0.3">
      <c r="A6" s="41" t="s">
        <v>41</v>
      </c>
      <c r="B6" s="54">
        <f>('9'!B6+'9'!B23+'9'!B40)/1000</f>
        <v>6.25</v>
      </c>
      <c r="C6" s="54">
        <f>('9'!C6+'9'!C23+'9'!C40)/1000</f>
        <v>9.0000000000000018</v>
      </c>
      <c r="D6" s="54">
        <f>('9'!D6+'9'!D23+'9'!D40)/1000</f>
        <v>11.860000000000001</v>
      </c>
      <c r="E6" s="54">
        <f>('9'!E6+'9'!E23+'9'!E40)/1000</f>
        <v>14.834400000000002</v>
      </c>
      <c r="F6" s="54">
        <f>('9'!F6+'9'!F23+'9'!F40)/1000</f>
        <v>17.927776000000001</v>
      </c>
      <c r="G6" s="54">
        <f>('9'!G6+'9'!G23+'9'!G40)/1000</f>
        <v>20.852422400000002</v>
      </c>
      <c r="H6" s="54">
        <f>('9'!H6+'9'!H23+'9'!H40)/1000</f>
        <v>24.215765760000004</v>
      </c>
      <c r="I6" s="54">
        <f>('9'!I6+'9'!I23+'9'!I40)/1000</f>
        <v>27.780909721600004</v>
      </c>
      <c r="J6" s="54">
        <f>('9'!J6+'9'!J23+'9'!J40)/1000</f>
        <v>31.559962320896009</v>
      </c>
      <c r="K6" s="54">
        <f>('9'!K6+'9'!K23+'9'!K40)/1000</f>
        <v>35.56575807614977</v>
      </c>
    </row>
    <row r="7" spans="1:11" x14ac:dyDescent="0.3">
      <c r="A7" s="41" t="s">
        <v>42</v>
      </c>
      <c r="B7" s="54">
        <f>('9'!B7+'9'!B24+'9'!B41)/1000</f>
        <v>0</v>
      </c>
      <c r="C7" s="54">
        <f>('9'!C7+'9'!C24+'9'!C41)/1000</f>
        <v>0</v>
      </c>
      <c r="D7" s="54">
        <f>('9'!D7+'9'!D24+'9'!D41)/1000</f>
        <v>0</v>
      </c>
      <c r="E7" s="54">
        <f>('9'!E7+'9'!E24+'9'!E41)/1000</f>
        <v>0</v>
      </c>
      <c r="F7" s="54">
        <f>('9'!F7+'9'!F24+'9'!F41)/1000</f>
        <v>0</v>
      </c>
      <c r="G7" s="54">
        <f>('9'!G7+'9'!G24+'9'!G41)/1000</f>
        <v>0</v>
      </c>
      <c r="H7" s="54">
        <f>('9'!H7+'9'!H24+'9'!H41)/1000</f>
        <v>0</v>
      </c>
      <c r="I7" s="54">
        <f>('9'!I7+'9'!I24+'9'!I41)/1000</f>
        <v>0</v>
      </c>
      <c r="J7" s="54">
        <f>('9'!J7+'9'!J24+'9'!J41)/1000</f>
        <v>0</v>
      </c>
      <c r="K7" s="54">
        <f>('9'!K7+'9'!K24+'9'!K41)/1000</f>
        <v>0</v>
      </c>
    </row>
    <row r="8" spans="1:11" x14ac:dyDescent="0.3">
      <c r="A8" s="41" t="s">
        <v>97</v>
      </c>
      <c r="B8" s="54">
        <f>('9'!B8+'9'!B25+'9'!B42)/1000</f>
        <v>3.375</v>
      </c>
      <c r="C8" s="54">
        <f>('9'!C8+'9'!C25+'9'!C42)/1000</f>
        <v>5.01</v>
      </c>
      <c r="D8" s="54">
        <f>('9'!D8+'9'!D25+'9'!D42)/1000</f>
        <v>6.7103999999999999</v>
      </c>
      <c r="E8" s="54">
        <f>('9'!E8+'9'!E25+'9'!E42)/1000</f>
        <v>8.4788159999999984</v>
      </c>
      <c r="F8" s="54">
        <f>('9'!F8+'9'!F25+'9'!F42)/1000</f>
        <v>10.317968639999998</v>
      </c>
      <c r="G8" s="54">
        <f>('9'!G8+'9'!G25+'9'!G42)/1000</f>
        <v>12.072756480000001</v>
      </c>
      <c r="H8" s="54">
        <f>('9'!H8+'9'!H25+'9'!H42)/1000</f>
        <v>14.0644406784</v>
      </c>
      <c r="I8" s="54">
        <f>('9'!I8+'9'!I25+'9'!I42)/1000</f>
        <v>16.175625928704001</v>
      </c>
      <c r="J8" s="54">
        <f>('9'!J8+'9'!J25+'9'!J42)/1000</f>
        <v>18.413482294026242</v>
      </c>
      <c r="K8" s="54">
        <f>('9'!K8+'9'!K25+'9'!K42)/1000</f>
        <v>20.785610041267816</v>
      </c>
    </row>
    <row r="9" spans="1:11" x14ac:dyDescent="0.3">
      <c r="A9" s="41" t="s">
        <v>98</v>
      </c>
      <c r="B9" s="54">
        <f>('9'!B9+'9'!B26+'9'!B43)/1000</f>
        <v>2.25</v>
      </c>
      <c r="C9" s="54">
        <f>('9'!C9+'9'!C26+'9'!C43)/1000</f>
        <v>3.4649999999999999</v>
      </c>
      <c r="D9" s="54">
        <f>('9'!D9+'9'!D26+'9'!D43)/1000</f>
        <v>4.7286000000000001</v>
      </c>
      <c r="E9" s="54">
        <f>('9'!E9+'9'!E26+'9'!E43)/1000</f>
        <v>6.0427440000000008</v>
      </c>
      <c r="F9" s="54">
        <f>('9'!F9+'9'!F26+'9'!F43)/1000</f>
        <v>7.4094537599999999</v>
      </c>
      <c r="G9" s="54">
        <f>('9'!G9+'9'!G26+'9'!G43)/1000</f>
        <v>8.7255446400000007</v>
      </c>
      <c r="H9" s="54">
        <f>('9'!H9+'9'!H26+'9'!H43)/1000</f>
        <v>10.1995664256</v>
      </c>
      <c r="I9" s="54">
        <f>('9'!I9+'9'!I26+'9'!I43)/1000</f>
        <v>11.762029518336002</v>
      </c>
      <c r="J9" s="54">
        <f>('9'!J9+'9'!J26+'9'!J43)/1000</f>
        <v>13.418240396636163</v>
      </c>
      <c r="K9" s="54">
        <f>('9'!K9+'9'!K26+'9'!K43)/1000</f>
        <v>15.173823927634334</v>
      </c>
    </row>
    <row r="10" spans="1:11" x14ac:dyDescent="0.3">
      <c r="A10" s="41" t="s">
        <v>43</v>
      </c>
      <c r="B10" s="54">
        <f>('9'!B10+'9'!B27+'9'!B44)/1000</f>
        <v>0</v>
      </c>
      <c r="C10" s="54">
        <f>('9'!C10+'9'!C27+'9'!C44)/1000</f>
        <v>0</v>
      </c>
      <c r="D10" s="54">
        <f>('9'!D10+'9'!D27+'9'!D44)/1000</f>
        <v>0</v>
      </c>
      <c r="E10" s="54">
        <f>('9'!E10+'9'!E27+'9'!E44)/1000</f>
        <v>0</v>
      </c>
      <c r="F10" s="54">
        <f>('9'!F10+'9'!F27+'9'!F44)/1000</f>
        <v>0</v>
      </c>
      <c r="G10" s="54">
        <f>('9'!G10+'9'!G27+'9'!G44)/1000</f>
        <v>0</v>
      </c>
      <c r="H10" s="54">
        <f>('9'!H10+'9'!H27+'9'!H44)/1000</f>
        <v>0</v>
      </c>
      <c r="I10" s="54">
        <f>('9'!I10+'9'!I27+'9'!I44)/1000</f>
        <v>0</v>
      </c>
      <c r="J10" s="54">
        <f>('9'!J10+'9'!J27+'9'!J44)/1000</f>
        <v>0</v>
      </c>
      <c r="K10" s="54">
        <f>('9'!K10+'9'!K27+'9'!K44)/1000</f>
        <v>0</v>
      </c>
    </row>
    <row r="11" spans="1:11" x14ac:dyDescent="0.3">
      <c r="A11" s="41" t="s">
        <v>97</v>
      </c>
      <c r="B11" s="54">
        <f>('9'!B11+'9'!B28+'9'!B45)/1000</f>
        <v>18.75</v>
      </c>
      <c r="C11" s="54">
        <f>('9'!C11+'9'!C28+'9'!C45)/1000</f>
        <v>27</v>
      </c>
      <c r="D11" s="54">
        <f>('9'!D11+'9'!D28+'9'!D45)/1000</f>
        <v>35.58</v>
      </c>
      <c r="E11" s="54">
        <f>('9'!E11+'9'!E28+'9'!E45)/1000</f>
        <v>44.5032</v>
      </c>
      <c r="F11" s="54">
        <f>('9'!F11+'9'!F28+'9'!F45)/1000</f>
        <v>53.783328000000004</v>
      </c>
      <c r="G11" s="54">
        <f>('9'!G11+'9'!G28+'9'!G45)/1000</f>
        <v>62.557267200000005</v>
      </c>
      <c r="H11" s="54">
        <f>('9'!H11+'9'!H28+'9'!H45)/1000</f>
        <v>72.647297280000004</v>
      </c>
      <c r="I11" s="54">
        <f>('9'!I11+'9'!I28+'9'!I45)/1000</f>
        <v>83.342729164799991</v>
      </c>
      <c r="J11" s="54">
        <f>('9'!J11+'9'!J28+'9'!J45)/1000</f>
        <v>94.679886962688002</v>
      </c>
      <c r="K11" s="54">
        <f>('9'!K11+'9'!K28+'9'!K45)/1000</f>
        <v>106.6972742284493</v>
      </c>
    </row>
    <row r="12" spans="1:11" x14ac:dyDescent="0.3">
      <c r="A12" s="41" t="s">
        <v>98</v>
      </c>
      <c r="B12" s="54">
        <f>('9'!B12+'9'!B29+'9'!B46)/1000</f>
        <v>9</v>
      </c>
      <c r="C12" s="54">
        <f>('9'!C12+'9'!C29+'9'!C46)/1000</f>
        <v>13.86</v>
      </c>
      <c r="D12" s="54">
        <f>('9'!D12+'9'!D29+'9'!D46)/1000</f>
        <v>18.914400000000001</v>
      </c>
      <c r="E12" s="54">
        <f>('9'!E12+'9'!E29+'9'!E46)/1000</f>
        <v>24.170976000000003</v>
      </c>
      <c r="F12" s="54">
        <f>('9'!F12+'9'!F29+'9'!F46)/1000</f>
        <v>29.63781504</v>
      </c>
      <c r="G12" s="54">
        <f>('9'!G12+'9'!G29+'9'!G46)/1000</f>
        <v>34.902178560000003</v>
      </c>
      <c r="H12" s="54">
        <f>('9'!H12+'9'!H29+'9'!H46)/1000</f>
        <v>40.798265702400002</v>
      </c>
      <c r="I12" s="54">
        <f>('9'!I12+'9'!I29+'9'!I46)/1000</f>
        <v>47.048118073344007</v>
      </c>
      <c r="J12" s="54">
        <f>('9'!J12+'9'!J29+'9'!J46)/1000</f>
        <v>53.672961586544652</v>
      </c>
      <c r="K12" s="54">
        <f>('9'!K12+'9'!K29+'9'!K46)/1000</f>
        <v>60.695295710537337</v>
      </c>
    </row>
    <row r="13" spans="1:11" x14ac:dyDescent="0.3">
      <c r="A13" s="41" t="s">
        <v>46</v>
      </c>
      <c r="B13" s="54">
        <f>('9'!B13+'9'!B30+'9'!B47)/1000</f>
        <v>0</v>
      </c>
      <c r="C13" s="54">
        <f>('9'!C13+'9'!C30+'9'!C47)/1000</f>
        <v>0</v>
      </c>
      <c r="D13" s="54">
        <f>('9'!D13+'9'!D30+'9'!D47)/1000</f>
        <v>0</v>
      </c>
      <c r="E13" s="54">
        <f>('9'!E13+'9'!E30+'9'!E47)/1000</f>
        <v>0</v>
      </c>
      <c r="F13" s="54">
        <f>('9'!F13+'9'!F30+'9'!F47)/1000</f>
        <v>0</v>
      </c>
      <c r="G13" s="54">
        <f>('9'!G13+'9'!G30+'9'!G47)/1000</f>
        <v>0</v>
      </c>
      <c r="H13" s="54">
        <f>('9'!H13+'9'!H30+'9'!H47)/1000</f>
        <v>0</v>
      </c>
      <c r="I13" s="54">
        <f>('9'!I13+'9'!I30+'9'!I47)/1000</f>
        <v>0</v>
      </c>
      <c r="J13" s="54">
        <f>('9'!J13+'9'!J30+'9'!J47)/1000</f>
        <v>0</v>
      </c>
      <c r="K13" s="54">
        <f>('9'!K13+'9'!K30+'9'!K47)/1000</f>
        <v>0</v>
      </c>
    </row>
    <row r="14" spans="1:11" x14ac:dyDescent="0.3">
      <c r="A14" s="41" t="s">
        <v>97</v>
      </c>
      <c r="B14" s="54">
        <f>('9'!B14+'9'!B31+'9'!B48)/1000</f>
        <v>13.5</v>
      </c>
      <c r="C14" s="54">
        <f>('9'!C14+'9'!C31+'9'!C48)/1000</f>
        <v>20.04</v>
      </c>
      <c r="D14" s="54">
        <f>('9'!D14+'9'!D31+'9'!D48)/1000</f>
        <v>26.8416</v>
      </c>
      <c r="E14" s="54">
        <f>('9'!E14+'9'!E31+'9'!E48)/1000</f>
        <v>33.915263999999993</v>
      </c>
      <c r="F14" s="54">
        <f>('9'!F14+'9'!F31+'9'!F48)/1000</f>
        <v>41.271874559999993</v>
      </c>
      <c r="G14" s="54">
        <f>('9'!G14+'9'!G31+'9'!G48)/1000</f>
        <v>48.291025920000003</v>
      </c>
      <c r="H14" s="54">
        <f>('9'!H14+'9'!H31+'9'!H48)/1000</f>
        <v>56.257762713600002</v>
      </c>
      <c r="I14" s="54">
        <f>('9'!I14+'9'!I31+'9'!I48)/1000</f>
        <v>64.702503714816004</v>
      </c>
      <c r="J14" s="54">
        <f>('9'!J14+'9'!J31+'9'!J48)/1000</f>
        <v>73.653929176104967</v>
      </c>
      <c r="K14" s="54">
        <f>('9'!K14+'9'!K31+'9'!K48)/1000</f>
        <v>83.142440165071264</v>
      </c>
    </row>
    <row r="15" spans="1:11" x14ac:dyDescent="0.3">
      <c r="A15" s="41" t="s">
        <v>98</v>
      </c>
      <c r="B15" s="54">
        <f>('9'!B15+'9'!B32+'9'!B49)/1000</f>
        <v>9</v>
      </c>
      <c r="C15" s="54">
        <f>('9'!C15+'9'!C32+'9'!C49)/1000</f>
        <v>13.86</v>
      </c>
      <c r="D15" s="54">
        <f>('9'!D15+'9'!D32+'9'!D49)/1000</f>
        <v>18.914400000000001</v>
      </c>
      <c r="E15" s="54">
        <f>('9'!E15+'9'!E32+'9'!E49)/1000</f>
        <v>24.170976000000003</v>
      </c>
      <c r="F15" s="54">
        <f>('9'!F15+'9'!F32+'9'!F49)/1000</f>
        <v>29.63781504</v>
      </c>
      <c r="G15" s="54">
        <f>('9'!G15+'9'!G32+'9'!G49)/1000</f>
        <v>34.902178560000003</v>
      </c>
      <c r="H15" s="54">
        <f>('9'!H15+'9'!H32+'9'!H49)/1000</f>
        <v>40.798265702400002</v>
      </c>
      <c r="I15" s="54">
        <f>('9'!I15+'9'!I32+'9'!I49)/1000</f>
        <v>47.048118073344007</v>
      </c>
      <c r="J15" s="54">
        <f>('9'!J15+'9'!J32+'9'!J49)/1000</f>
        <v>53.672961586544652</v>
      </c>
      <c r="K15" s="54">
        <f>('9'!K15+'9'!K32+'9'!K49)/1000</f>
        <v>60.695295710537337</v>
      </c>
    </row>
    <row r="16" spans="1:11" x14ac:dyDescent="0.3">
      <c r="A16" s="41" t="s">
        <v>44</v>
      </c>
      <c r="B16" s="54">
        <f>('9'!B16+'9'!B33+'9'!B50)/1000</f>
        <v>6.25</v>
      </c>
      <c r="C16" s="54">
        <f>('9'!C16+'9'!C33+'9'!C50)/1000</f>
        <v>9.0000000000000018</v>
      </c>
      <c r="D16" s="54">
        <f>('9'!D16+'9'!D33+'9'!D50)/1000</f>
        <v>11.860000000000001</v>
      </c>
      <c r="E16" s="54">
        <f>('9'!E16+'9'!E33+'9'!E50)/1000</f>
        <v>14.834400000000002</v>
      </c>
      <c r="F16" s="54">
        <f>('9'!F16+'9'!F33+'9'!F50)/1000</f>
        <v>17.927776000000001</v>
      </c>
      <c r="G16" s="54">
        <f>('9'!G16+'9'!G33+'9'!G50)/1000</f>
        <v>20.852422400000002</v>
      </c>
      <c r="H16" s="54">
        <f>('9'!H16+'9'!H33+'9'!H50)/1000</f>
        <v>24.215765760000004</v>
      </c>
      <c r="I16" s="54">
        <f>('9'!I16+'9'!I33+'9'!I50)/1000</f>
        <v>27.780909721600004</v>
      </c>
      <c r="J16" s="54">
        <f>('9'!J16+'9'!J33+'9'!J50)/1000</f>
        <v>31.559962320896009</v>
      </c>
      <c r="K16" s="54">
        <f>('9'!K16+'9'!K33+'9'!K50)/1000</f>
        <v>35.56575807614977</v>
      </c>
    </row>
    <row r="17" spans="1:11" ht="16.2" x14ac:dyDescent="0.45">
      <c r="A17" s="60" t="s">
        <v>60</v>
      </c>
      <c r="B17" s="137">
        <f>('9'!B17+'9'!B34+'9'!B51)/1000</f>
        <v>6.25</v>
      </c>
      <c r="C17" s="137">
        <f>('9'!C17+'9'!C34+'9'!C51)/1000</f>
        <v>9.0000000000000018</v>
      </c>
      <c r="D17" s="137">
        <f>('9'!D17+'9'!D34+'9'!D51)/1000</f>
        <v>11.860000000000001</v>
      </c>
      <c r="E17" s="137">
        <f>('9'!E17+'9'!E34+'9'!E51)/1000</f>
        <v>14.834400000000002</v>
      </c>
      <c r="F17" s="137">
        <f>('9'!F17+'9'!F34+'9'!F51)/1000</f>
        <v>17.927776000000001</v>
      </c>
      <c r="G17" s="137">
        <f>('9'!G17+'9'!G34+'9'!G51)/1000</f>
        <v>20.852422400000002</v>
      </c>
      <c r="H17" s="137">
        <f>('9'!H17+'9'!H34+'9'!H51)/1000</f>
        <v>24.215765760000004</v>
      </c>
      <c r="I17" s="137">
        <f>('9'!I17+'9'!I34+'9'!I51)/1000</f>
        <v>27.780909721600004</v>
      </c>
      <c r="J17" s="137">
        <f>('9'!J17+'9'!J34+'9'!J51)/1000</f>
        <v>31.559962320896009</v>
      </c>
      <c r="K17" s="137">
        <f>('9'!K17+'9'!K34+'9'!K51)/1000</f>
        <v>35.56575807614977</v>
      </c>
    </row>
    <row r="18" spans="1:11" x14ac:dyDescent="0.3">
      <c r="A18" s="41" t="s">
        <v>100</v>
      </c>
      <c r="B18" s="16">
        <f>SUM(B5:B17)</f>
        <v>77.875</v>
      </c>
      <c r="C18" s="16">
        <f t="shared" ref="C18:K18" si="0">SUM(C5:C17)</f>
        <v>114.86499999999999</v>
      </c>
      <c r="D18" s="16">
        <f t="shared" si="0"/>
        <v>153.33460000000002</v>
      </c>
      <c r="E18" s="16">
        <f t="shared" si="0"/>
        <v>193.342984</v>
      </c>
      <c r="F18" s="16">
        <f t="shared" si="0"/>
        <v>234.95170335999995</v>
      </c>
      <c r="G18" s="16">
        <f t="shared" si="0"/>
        <v>274.58066208000002</v>
      </c>
      <c r="H18" s="16">
        <f t="shared" si="0"/>
        <v>319.67578492160004</v>
      </c>
      <c r="I18" s="16">
        <f t="shared" si="0"/>
        <v>367.47661513369599</v>
      </c>
      <c r="J18" s="16">
        <f t="shared" si="0"/>
        <v>418.14549515851786</v>
      </c>
      <c r="K18" s="16">
        <f t="shared" si="0"/>
        <v>471.85450798482896</v>
      </c>
    </row>
    <row r="20" spans="1:11" x14ac:dyDescent="0.3">
      <c r="A20" s="1" t="s">
        <v>101</v>
      </c>
    </row>
    <row r="21" spans="1:11" x14ac:dyDescent="0.3">
      <c r="A21" t="str">
        <f>'9'!A3</f>
        <v>Initial Fees from Sales in Current Year</v>
      </c>
      <c r="B21" s="5">
        <f>'9'!B18/('9'!B18+'9'!B35+'9'!B52)</f>
        <v>0.565008025682183</v>
      </c>
      <c r="C21" s="5">
        <f>'9'!C18/('9'!C18+'9'!C35+'9'!C52)</f>
        <v>0.39838070778740259</v>
      </c>
      <c r="D21" s="5">
        <f>'9'!D18/('9'!D18+'9'!D35+'9'!D52)</f>
        <v>0.31036960999017832</v>
      </c>
      <c r="E21" s="5">
        <f>'9'!E18/('9'!E18+'9'!E35+'9'!E52)</f>
        <v>0.25599075268229021</v>
      </c>
      <c r="F21" s="5">
        <f>'9'!F18/('9'!F18+'9'!F35+'9'!F52)</f>
        <v>0.21908237269142222</v>
      </c>
      <c r="G21" s="5">
        <f>'9'!G18/('9'!G18+'9'!G35+'9'!G52)</f>
        <v>0.18746322574239743</v>
      </c>
      <c r="H21" s="5">
        <f>'9'!H18/('9'!H18+'9'!H35+'9'!H52)</f>
        <v>0.1706798131481285</v>
      </c>
      <c r="I21" s="5">
        <f>'9'!I18/('9'!I18+'9'!I35+'9'!I52)</f>
        <v>0.15738670993162934</v>
      </c>
      <c r="J21" s="5">
        <f>'9'!J18/('9'!J18+'9'!J35+'9'!J52)</f>
        <v>0.14661425811947415</v>
      </c>
      <c r="K21" s="5">
        <f>'9'!K18/('9'!K18+'9'!K35+'9'!K52)</f>
        <v>0.13772138647083904</v>
      </c>
    </row>
    <row r="22" spans="1:11" x14ac:dyDescent="0.3">
      <c r="A22" t="str">
        <f>'9'!A20</f>
        <v>Annual Fees from Sales in Current Year</v>
      </c>
      <c r="B22" s="5">
        <f>'9'!B35/('9'!B18+'9'!B35+'9'!B52)</f>
        <v>0.434991974317817</v>
      </c>
      <c r="C22" s="5">
        <f>'9'!C35/('9'!C18+'9'!C35+'9'!C52)</f>
        <v>0.30670787446132414</v>
      </c>
      <c r="D22" s="5">
        <f>'9'!D35/('9'!D18+'9'!D35+'9'!D52)</f>
        <v>0.23894933041857483</v>
      </c>
      <c r="E22" s="5">
        <f>'9'!E35/('9'!E18+'9'!E35+'9'!E52)</f>
        <v>0.19708378970710413</v>
      </c>
      <c r="F22" s="5">
        <f>'9'!F35/('9'!F18+'9'!F35+'9'!F52)</f>
        <v>0.16866853124822564</v>
      </c>
      <c r="G22" s="5">
        <f>'9'!G35/('9'!G18+'9'!G35+'9'!G52)</f>
        <v>0.14432538118235713</v>
      </c>
      <c r="H22" s="5">
        <f>'9'!H35/('9'!H18+'9'!H35+'9'!H52)</f>
        <v>0.1314040606907467</v>
      </c>
      <c r="I22" s="5">
        <f>'9'!I35/('9'!I18+'9'!I35+'9'!I52)</f>
        <v>0.12116988179395327</v>
      </c>
      <c r="J22" s="5">
        <f>'9'!J35/('9'!J18+'9'!J35+'9'!J52)</f>
        <v>0.11287631804084516</v>
      </c>
      <c r="K22" s="5">
        <f>'9'!K35/('9'!K18+'9'!K35+'9'!K52)</f>
        <v>0.10602981742499255</v>
      </c>
    </row>
    <row r="23" spans="1:11" x14ac:dyDescent="0.3">
      <c r="A23" t="str">
        <f>'9'!A37</f>
        <v>Annual fees from Sales in Prior Years</v>
      </c>
      <c r="B23" s="5">
        <f>'9'!B52/('9'!B18+'9'!B35+'9'!B52)</f>
        <v>0</v>
      </c>
      <c r="C23" s="5">
        <f>'9'!C52/('9'!C18+'9'!C35+'9'!C52)</f>
        <v>0.29491141775127322</v>
      </c>
      <c r="D23" s="5">
        <f>'9'!D52/('9'!D18+'9'!D35+'9'!D52)</f>
        <v>0.45068105959124682</v>
      </c>
      <c r="E23" s="5">
        <f>'9'!E52/('9'!E18+'9'!E35+'9'!E52)</f>
        <v>0.54692545761060563</v>
      </c>
      <c r="F23" s="5">
        <f>'9'!F52/('9'!F18+'9'!F35+'9'!F52)</f>
        <v>0.61224909606035216</v>
      </c>
      <c r="G23" s="5">
        <f>'9'!G52/('9'!G18+'9'!G35+'9'!G52)</f>
        <v>0.66821139307524535</v>
      </c>
      <c r="H23" s="5">
        <f>'9'!H52/('9'!H18+'9'!H35+'9'!H52)</f>
        <v>0.69791612616112475</v>
      </c>
      <c r="I23" s="5">
        <f>'9'!I52/('9'!I18+'9'!I35+'9'!I52)</f>
        <v>0.72144340827441733</v>
      </c>
      <c r="J23" s="5">
        <f>'9'!J52/('9'!J18+'9'!J35+'9'!J52)</f>
        <v>0.74050942383968077</v>
      </c>
      <c r="K23" s="5">
        <f>'9'!K52/('9'!K18+'9'!K35+'9'!K52)</f>
        <v>0.7562487961041684</v>
      </c>
    </row>
  </sheetData>
  <hyperlinks>
    <hyperlink ref="B1" location="Index!A1" display="Back to 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27"/>
  <sheetViews>
    <sheetView topLeftCell="A7" zoomScaleNormal="100" workbookViewId="0">
      <selection activeCell="B1" sqref="B1"/>
    </sheetView>
  </sheetViews>
  <sheetFormatPr defaultRowHeight="14.4" x14ac:dyDescent="0.3"/>
  <cols>
    <col min="1" max="1" width="25.44140625" customWidth="1"/>
    <col min="2" max="4" width="12.5546875" customWidth="1"/>
    <col min="5" max="5" width="11.109375" customWidth="1"/>
    <col min="7" max="10" width="9.6640625" bestFit="1" customWidth="1"/>
    <col min="12" max="15" width="9.6640625" bestFit="1" customWidth="1"/>
    <col min="17" max="19" width="9.6640625" bestFit="1" customWidth="1"/>
    <col min="20" max="20" width="9.33203125" bestFit="1" customWidth="1"/>
  </cols>
  <sheetData>
    <row r="1" spans="1:20" x14ac:dyDescent="0.3">
      <c r="A1" s="1" t="s">
        <v>138</v>
      </c>
      <c r="B1" s="59" t="s">
        <v>59</v>
      </c>
    </row>
    <row r="3" spans="1:20" ht="14.25" customHeight="1" x14ac:dyDescent="0.3">
      <c r="A3" s="1" t="s">
        <v>118</v>
      </c>
      <c r="B3" s="386" t="s">
        <v>122</v>
      </c>
      <c r="C3" s="387"/>
      <c r="D3" s="387"/>
      <c r="E3" s="388"/>
      <c r="G3" s="386" t="s">
        <v>119</v>
      </c>
      <c r="H3" s="387"/>
      <c r="I3" s="387"/>
      <c r="J3" s="388"/>
      <c r="L3" s="386" t="s">
        <v>120</v>
      </c>
      <c r="M3" s="387"/>
      <c r="N3" s="387"/>
      <c r="O3" s="388"/>
      <c r="Q3" s="386" t="s">
        <v>121</v>
      </c>
      <c r="R3" s="387"/>
      <c r="S3" s="387"/>
      <c r="T3" s="388"/>
    </row>
    <row r="4" spans="1:20" ht="14.25" customHeight="1" x14ac:dyDescent="0.3">
      <c r="B4" s="74" t="s">
        <v>63</v>
      </c>
      <c r="C4" s="75" t="s">
        <v>64</v>
      </c>
      <c r="D4" s="76" t="s">
        <v>65</v>
      </c>
      <c r="E4" s="66" t="s">
        <v>66</v>
      </c>
      <c r="G4" s="74" t="s">
        <v>63</v>
      </c>
      <c r="H4" s="75" t="s">
        <v>64</v>
      </c>
      <c r="I4" s="76" t="s">
        <v>65</v>
      </c>
      <c r="J4" s="66" t="s">
        <v>66</v>
      </c>
      <c r="L4" s="74" t="s">
        <v>63</v>
      </c>
      <c r="M4" s="75" t="s">
        <v>64</v>
      </c>
      <c r="N4" s="76" t="s">
        <v>65</v>
      </c>
      <c r="O4" s="66" t="s">
        <v>66</v>
      </c>
      <c r="Q4" s="74" t="s">
        <v>63</v>
      </c>
      <c r="R4" s="116" t="s">
        <v>64</v>
      </c>
      <c r="S4" s="76" t="s">
        <v>65</v>
      </c>
      <c r="T4" s="66" t="s">
        <v>66</v>
      </c>
    </row>
    <row r="5" spans="1:20" ht="14.25" customHeight="1" x14ac:dyDescent="0.3">
      <c r="A5" s="41" t="s">
        <v>32</v>
      </c>
      <c r="B5" s="146">
        <f>C5*(1+Foreward!$AA$12)</f>
        <v>0.18</v>
      </c>
      <c r="C5" s="114">
        <v>0.15</v>
      </c>
      <c r="D5" s="147">
        <f>C5*(1-Foreward!$AA$13)</f>
        <v>0.1275</v>
      </c>
      <c r="E5" s="122">
        <v>0.15</v>
      </c>
      <c r="F5" s="2"/>
      <c r="G5" s="146">
        <f>H5*(1+Foreward!$AA$12)</f>
        <v>0.3</v>
      </c>
      <c r="H5" s="114">
        <v>0.25</v>
      </c>
      <c r="I5" s="147">
        <f>H5*(1-Foreward!$AA$13)</f>
        <v>0.21249999999999999</v>
      </c>
      <c r="J5" s="122">
        <v>0.25</v>
      </c>
      <c r="K5" s="21"/>
      <c r="L5" s="146">
        <f>M5*(1+Foreward!$AA$12)</f>
        <v>0.36</v>
      </c>
      <c r="M5" s="114">
        <v>0.3</v>
      </c>
      <c r="N5" s="147">
        <f>M5*(1-Foreward!$AA$13)</f>
        <v>0.255</v>
      </c>
      <c r="O5" s="122">
        <v>0.3</v>
      </c>
      <c r="P5" s="21"/>
      <c r="Q5" s="146">
        <f>R5*(1+Foreward!$AA$12)</f>
        <v>0.42</v>
      </c>
      <c r="R5" s="120">
        <v>0.35</v>
      </c>
      <c r="S5" s="152">
        <f>R5*(1-Foreward!$AA$13)</f>
        <v>0.29749999999999999</v>
      </c>
      <c r="T5" s="122">
        <v>0.35</v>
      </c>
    </row>
    <row r="6" spans="1:20" ht="14.25" customHeight="1" x14ac:dyDescent="0.3">
      <c r="A6" s="41" t="s">
        <v>41</v>
      </c>
      <c r="B6" s="146">
        <f>C6*(1+Foreward!$AA$12)</f>
        <v>0.18</v>
      </c>
      <c r="C6" s="114">
        <v>0.15</v>
      </c>
      <c r="D6" s="147">
        <f>C6*(1-Foreward!$AA$13)</f>
        <v>0.1275</v>
      </c>
      <c r="E6" s="148">
        <v>0.15</v>
      </c>
      <c r="F6" s="2"/>
      <c r="G6" s="146">
        <f>H6*(1+Foreward!$AA$12)</f>
        <v>0.3</v>
      </c>
      <c r="H6" s="114">
        <v>0.25</v>
      </c>
      <c r="I6" s="147">
        <f>H6*(1-Foreward!$AA$13)</f>
        <v>0.21249999999999999</v>
      </c>
      <c r="J6" s="148">
        <v>0.25</v>
      </c>
      <c r="K6" s="21"/>
      <c r="L6" s="146">
        <f>M6*(1+Foreward!$AA$12)</f>
        <v>0.36</v>
      </c>
      <c r="M6" s="114">
        <v>0.3</v>
      </c>
      <c r="N6" s="147">
        <f>M6*(1-Foreward!$AA$13)</f>
        <v>0.255</v>
      </c>
      <c r="O6" s="148">
        <v>0.3</v>
      </c>
      <c r="P6" s="21"/>
      <c r="Q6" s="146">
        <f>R6*(1+Foreward!$AA$12)</f>
        <v>0.42</v>
      </c>
      <c r="R6" s="120">
        <v>0.35</v>
      </c>
      <c r="S6" s="147">
        <f>R6*(1-Foreward!$AA$13)</f>
        <v>0.29749999999999999</v>
      </c>
      <c r="T6" s="148">
        <v>0.35</v>
      </c>
    </row>
    <row r="7" spans="1:20" ht="14.25" customHeight="1" x14ac:dyDescent="0.3">
      <c r="A7" s="41" t="s">
        <v>366</v>
      </c>
      <c r="B7" s="146">
        <f>C7*(1+Foreward!$AA$12)</f>
        <v>0.18</v>
      </c>
      <c r="C7" s="114">
        <v>0.15</v>
      </c>
      <c r="D7" s="147">
        <f>C7*(1-Foreward!$AA$13)</f>
        <v>0.1275</v>
      </c>
      <c r="E7" s="148">
        <v>0.15</v>
      </c>
      <c r="F7" s="2"/>
      <c r="G7" s="146">
        <f>H7*(1+Foreward!$AA$12)</f>
        <v>0.3</v>
      </c>
      <c r="H7" s="114">
        <v>0.25</v>
      </c>
      <c r="I7" s="147">
        <f>H7*(1-Foreward!$AA$13)</f>
        <v>0.21249999999999999</v>
      </c>
      <c r="J7" s="148">
        <v>0.25</v>
      </c>
      <c r="K7" s="21"/>
      <c r="L7" s="146">
        <f>M7*(1+Foreward!$AA$12)</f>
        <v>0.36</v>
      </c>
      <c r="M7" s="114">
        <v>0.3</v>
      </c>
      <c r="N7" s="147">
        <f>M7*(1-Foreward!$AA$13)</f>
        <v>0.255</v>
      </c>
      <c r="O7" s="148">
        <v>0.3</v>
      </c>
      <c r="P7" s="21"/>
      <c r="Q7" s="146">
        <f>R7*(1+Foreward!$AA$12)</f>
        <v>0.42</v>
      </c>
      <c r="R7" s="120">
        <v>0.35</v>
      </c>
      <c r="S7" s="147">
        <f>R7*(1-Foreward!$AA$13)</f>
        <v>0.29749999999999999</v>
      </c>
      <c r="T7" s="148">
        <v>0.35</v>
      </c>
    </row>
    <row r="8" spans="1:20" ht="14.25" customHeight="1" x14ac:dyDescent="0.3">
      <c r="A8" s="41" t="s">
        <v>43</v>
      </c>
      <c r="B8" s="146">
        <f>C8*(1+Foreward!$AA$12)</f>
        <v>0.18</v>
      </c>
      <c r="C8" s="114">
        <v>0.15</v>
      </c>
      <c r="D8" s="147">
        <f>C8*(1-Foreward!$AA$13)</f>
        <v>0.1275</v>
      </c>
      <c r="E8" s="148">
        <v>0.15</v>
      </c>
      <c r="F8" s="2"/>
      <c r="G8" s="146">
        <f>H8*(1+Foreward!$AA$12)</f>
        <v>0.3</v>
      </c>
      <c r="H8" s="114">
        <v>0.25</v>
      </c>
      <c r="I8" s="147">
        <f>H8*(1-Foreward!$AA$13)</f>
        <v>0.21249999999999999</v>
      </c>
      <c r="J8" s="148">
        <v>0.25</v>
      </c>
      <c r="K8" s="21"/>
      <c r="L8" s="146">
        <f>M8*(1+Foreward!$AA$12)</f>
        <v>0.36</v>
      </c>
      <c r="M8" s="114">
        <v>0.3</v>
      </c>
      <c r="N8" s="147">
        <f>M8*(1-Foreward!$AA$13)</f>
        <v>0.255</v>
      </c>
      <c r="O8" s="148">
        <v>0.3</v>
      </c>
      <c r="P8" s="21"/>
      <c r="Q8" s="146">
        <f>R8*(1+Foreward!$AA$12)</f>
        <v>0.42</v>
      </c>
      <c r="R8" s="120">
        <v>0.35</v>
      </c>
      <c r="S8" s="147">
        <f>R8*(1-Foreward!$AA$13)</f>
        <v>0.29749999999999999</v>
      </c>
      <c r="T8" s="148">
        <v>0.35</v>
      </c>
    </row>
    <row r="9" spans="1:20" ht="14.25" customHeight="1" x14ac:dyDescent="0.3">
      <c r="A9" s="41" t="s">
        <v>46</v>
      </c>
      <c r="B9" s="146">
        <f>C9*(1+Foreward!$AA$12)</f>
        <v>0.18</v>
      </c>
      <c r="C9" s="114">
        <v>0.15</v>
      </c>
      <c r="D9" s="147">
        <f>C9*(1-Foreward!$AA$13)</f>
        <v>0.1275</v>
      </c>
      <c r="E9" s="148">
        <v>0.15</v>
      </c>
      <c r="F9" s="2"/>
      <c r="G9" s="146">
        <f>H9*(1+Foreward!$AA$12)</f>
        <v>0.3</v>
      </c>
      <c r="H9" s="114">
        <v>0.25</v>
      </c>
      <c r="I9" s="147">
        <f>H9*(1-Foreward!$AA$13)</f>
        <v>0.21249999999999999</v>
      </c>
      <c r="J9" s="148">
        <v>0.25</v>
      </c>
      <c r="K9" s="21"/>
      <c r="L9" s="146">
        <f>M9*(1+Foreward!$AA$12)</f>
        <v>0.36</v>
      </c>
      <c r="M9" s="114">
        <v>0.3</v>
      </c>
      <c r="N9" s="147">
        <f>M9*(1-Foreward!$AA$13)</f>
        <v>0.255</v>
      </c>
      <c r="O9" s="148">
        <v>0.3</v>
      </c>
      <c r="P9" s="21"/>
      <c r="Q9" s="146">
        <f>R9*(1+Foreward!$AA$12)</f>
        <v>0.42</v>
      </c>
      <c r="R9" s="120">
        <v>0.35</v>
      </c>
      <c r="S9" s="147">
        <f>R9*(1-Foreward!$AA$13)</f>
        <v>0.29749999999999999</v>
      </c>
      <c r="T9" s="148">
        <v>0.35</v>
      </c>
    </row>
    <row r="10" spans="1:20" ht="14.25" customHeight="1" x14ac:dyDescent="0.3">
      <c r="A10" s="41" t="s">
        <v>44</v>
      </c>
      <c r="B10" s="146">
        <f>C10*(1+Foreward!$AA$12)</f>
        <v>0.18</v>
      </c>
      <c r="C10" s="114">
        <v>0.15</v>
      </c>
      <c r="D10" s="147">
        <f>C10*(1-Foreward!$AA$13)</f>
        <v>0.1275</v>
      </c>
      <c r="E10" s="148">
        <v>0.15</v>
      </c>
      <c r="F10" s="2"/>
      <c r="G10" s="146">
        <f>H10*(1+Foreward!$AA$12)</f>
        <v>0.3</v>
      </c>
      <c r="H10" s="114">
        <v>0.25</v>
      </c>
      <c r="I10" s="147">
        <f>H10*(1-Foreward!$AA$13)</f>
        <v>0.21249999999999999</v>
      </c>
      <c r="J10" s="148">
        <v>0.25</v>
      </c>
      <c r="K10" s="21"/>
      <c r="L10" s="146">
        <f>M10*(1+Foreward!$AA$12)</f>
        <v>0.36</v>
      </c>
      <c r="M10" s="114">
        <v>0.3</v>
      </c>
      <c r="N10" s="147">
        <f>M10*(1-Foreward!$AA$13)</f>
        <v>0.255</v>
      </c>
      <c r="O10" s="148">
        <v>0.3</v>
      </c>
      <c r="P10" s="21"/>
      <c r="Q10" s="146">
        <f>R10*(1+Foreward!$AA$12)</f>
        <v>0.42</v>
      </c>
      <c r="R10" s="120">
        <v>0.35</v>
      </c>
      <c r="S10" s="147">
        <f>R10*(1-Foreward!$AA$13)</f>
        <v>0.29749999999999999</v>
      </c>
      <c r="T10" s="148">
        <v>0.35</v>
      </c>
    </row>
    <row r="11" spans="1:20" ht="14.25" customHeight="1" x14ac:dyDescent="0.3">
      <c r="A11" s="41" t="s">
        <v>45</v>
      </c>
      <c r="B11" s="149">
        <f>C11*(1+Foreward!$AA$12)</f>
        <v>0.18</v>
      </c>
      <c r="C11" s="114">
        <v>0.15</v>
      </c>
      <c r="D11" s="150">
        <f>C11*(1-Foreward!$AA$13)</f>
        <v>0.1275</v>
      </c>
      <c r="E11" s="151">
        <v>0.15</v>
      </c>
      <c r="F11" s="2"/>
      <c r="G11" s="149">
        <f>H11*(1+Foreward!$AA$12)</f>
        <v>0.3</v>
      </c>
      <c r="H11" s="153">
        <v>0.25</v>
      </c>
      <c r="I11" s="150">
        <f>H11*(1-Foreward!$AA$13)</f>
        <v>0.21249999999999999</v>
      </c>
      <c r="J11" s="151">
        <v>0.25</v>
      </c>
      <c r="K11" s="21"/>
      <c r="L11" s="149">
        <f>M11*(1+Foreward!$AA$12)</f>
        <v>0.36</v>
      </c>
      <c r="M11" s="114">
        <v>0.3</v>
      </c>
      <c r="N11" s="150">
        <f>M11*(1-Foreward!$AA$13)</f>
        <v>0.255</v>
      </c>
      <c r="O11" s="151">
        <v>0.3</v>
      </c>
      <c r="P11" s="21"/>
      <c r="Q11" s="149">
        <f>R11*(1+Foreward!$AA$12)</f>
        <v>0.42</v>
      </c>
      <c r="R11" s="120">
        <v>0.35</v>
      </c>
      <c r="S11" s="150">
        <f>R11*(1-Foreward!$AA$13)</f>
        <v>0.29749999999999999</v>
      </c>
      <c r="T11" s="151">
        <v>0.35</v>
      </c>
    </row>
    <row r="13" spans="1:20" x14ac:dyDescent="0.3">
      <c r="A13" s="47" t="s">
        <v>118</v>
      </c>
      <c r="B13" s="154">
        <v>2011</v>
      </c>
      <c r="C13" s="154">
        <v>2012</v>
      </c>
      <c r="D13" s="154">
        <v>2013</v>
      </c>
      <c r="E13" s="154">
        <v>2014</v>
      </c>
      <c r="F13" s="155">
        <v>2015</v>
      </c>
      <c r="G13" s="154">
        <v>2016</v>
      </c>
      <c r="H13" s="155">
        <v>2017</v>
      </c>
      <c r="I13" s="155">
        <v>2018</v>
      </c>
      <c r="J13" s="154">
        <v>2019</v>
      </c>
      <c r="K13" s="155">
        <v>2020</v>
      </c>
    </row>
    <row r="14" spans="1:20" x14ac:dyDescent="0.3">
      <c r="A14" s="41" t="s">
        <v>32</v>
      </c>
      <c r="B14" s="156">
        <f>E5</f>
        <v>0.15</v>
      </c>
      <c r="C14" s="157">
        <f>$J5</f>
        <v>0.25</v>
      </c>
      <c r="D14" s="157">
        <f t="shared" ref="D14:E14" si="0">$J5</f>
        <v>0.25</v>
      </c>
      <c r="E14" s="157">
        <f t="shared" si="0"/>
        <v>0.25</v>
      </c>
      <c r="F14" s="157">
        <f>$O5</f>
        <v>0.3</v>
      </c>
      <c r="G14" s="157">
        <f t="shared" ref="G14:H14" si="1">$O5</f>
        <v>0.3</v>
      </c>
      <c r="H14" s="157">
        <f t="shared" si="1"/>
        <v>0.3</v>
      </c>
      <c r="I14" s="157">
        <f>$T5</f>
        <v>0.35</v>
      </c>
      <c r="J14" s="157">
        <f t="shared" ref="J14:K14" si="2">$T5</f>
        <v>0.35</v>
      </c>
      <c r="K14" s="158">
        <f t="shared" si="2"/>
        <v>0.35</v>
      </c>
    </row>
    <row r="15" spans="1:20" x14ac:dyDescent="0.3">
      <c r="A15" s="41" t="s">
        <v>41</v>
      </c>
      <c r="B15" s="159">
        <f t="shared" ref="B15:B20" si="3">E6</f>
        <v>0.15</v>
      </c>
      <c r="C15" s="160">
        <f t="shared" ref="C15:E19" si="4">$J6</f>
        <v>0.25</v>
      </c>
      <c r="D15" s="160">
        <f t="shared" si="4"/>
        <v>0.25</v>
      </c>
      <c r="E15" s="160">
        <f t="shared" si="4"/>
        <v>0.25</v>
      </c>
      <c r="F15" s="160">
        <f t="shared" ref="F15:H20" si="5">$O6</f>
        <v>0.3</v>
      </c>
      <c r="G15" s="160">
        <f t="shared" si="5"/>
        <v>0.3</v>
      </c>
      <c r="H15" s="160">
        <f t="shared" si="5"/>
        <v>0.3</v>
      </c>
      <c r="I15" s="160">
        <f t="shared" ref="I15:K20" si="6">$T6</f>
        <v>0.35</v>
      </c>
      <c r="J15" s="160">
        <f t="shared" si="6"/>
        <v>0.35</v>
      </c>
      <c r="K15" s="161">
        <f t="shared" si="6"/>
        <v>0.35</v>
      </c>
    </row>
    <row r="16" spans="1:20" x14ac:dyDescent="0.3">
      <c r="A16" s="41" t="s">
        <v>366</v>
      </c>
      <c r="B16" s="159">
        <f t="shared" si="3"/>
        <v>0.15</v>
      </c>
      <c r="C16" s="160">
        <f t="shared" si="4"/>
        <v>0.25</v>
      </c>
      <c r="D16" s="160">
        <f t="shared" si="4"/>
        <v>0.25</v>
      </c>
      <c r="E16" s="160">
        <f t="shared" si="4"/>
        <v>0.25</v>
      </c>
      <c r="F16" s="160">
        <f t="shared" si="5"/>
        <v>0.3</v>
      </c>
      <c r="G16" s="160">
        <f t="shared" si="5"/>
        <v>0.3</v>
      </c>
      <c r="H16" s="160">
        <f t="shared" si="5"/>
        <v>0.3</v>
      </c>
      <c r="I16" s="160">
        <f t="shared" si="6"/>
        <v>0.35</v>
      </c>
      <c r="J16" s="160">
        <f t="shared" si="6"/>
        <v>0.35</v>
      </c>
      <c r="K16" s="161">
        <f t="shared" si="6"/>
        <v>0.35</v>
      </c>
    </row>
    <row r="17" spans="1:11" x14ac:dyDescent="0.3">
      <c r="A17" s="41" t="s">
        <v>43</v>
      </c>
      <c r="B17" s="159">
        <f t="shared" si="3"/>
        <v>0.15</v>
      </c>
      <c r="C17" s="160">
        <f t="shared" si="4"/>
        <v>0.25</v>
      </c>
      <c r="D17" s="160">
        <f t="shared" si="4"/>
        <v>0.25</v>
      </c>
      <c r="E17" s="160">
        <f t="shared" si="4"/>
        <v>0.25</v>
      </c>
      <c r="F17" s="160">
        <f t="shared" si="5"/>
        <v>0.3</v>
      </c>
      <c r="G17" s="160">
        <f t="shared" si="5"/>
        <v>0.3</v>
      </c>
      <c r="H17" s="160">
        <f t="shared" si="5"/>
        <v>0.3</v>
      </c>
      <c r="I17" s="160">
        <f t="shared" si="6"/>
        <v>0.35</v>
      </c>
      <c r="J17" s="160">
        <f t="shared" si="6"/>
        <v>0.35</v>
      </c>
      <c r="K17" s="161">
        <f t="shared" si="6"/>
        <v>0.35</v>
      </c>
    </row>
    <row r="18" spans="1:11" x14ac:dyDescent="0.3">
      <c r="A18" s="41" t="s">
        <v>46</v>
      </c>
      <c r="B18" s="159">
        <f t="shared" si="3"/>
        <v>0.15</v>
      </c>
      <c r="C18" s="160">
        <f t="shared" si="4"/>
        <v>0.25</v>
      </c>
      <c r="D18" s="160">
        <f t="shared" si="4"/>
        <v>0.25</v>
      </c>
      <c r="E18" s="160">
        <f t="shared" si="4"/>
        <v>0.25</v>
      </c>
      <c r="F18" s="160">
        <f t="shared" si="5"/>
        <v>0.3</v>
      </c>
      <c r="G18" s="160">
        <f t="shared" si="5"/>
        <v>0.3</v>
      </c>
      <c r="H18" s="160">
        <f t="shared" si="5"/>
        <v>0.3</v>
      </c>
      <c r="I18" s="160">
        <f t="shared" si="6"/>
        <v>0.35</v>
      </c>
      <c r="J18" s="160">
        <f t="shared" si="6"/>
        <v>0.35</v>
      </c>
      <c r="K18" s="161">
        <f t="shared" si="6"/>
        <v>0.35</v>
      </c>
    </row>
    <row r="19" spans="1:11" x14ac:dyDescent="0.3">
      <c r="A19" s="41" t="s">
        <v>44</v>
      </c>
      <c r="B19" s="159">
        <f t="shared" si="3"/>
        <v>0.15</v>
      </c>
      <c r="C19" s="160">
        <f t="shared" si="4"/>
        <v>0.25</v>
      </c>
      <c r="D19" s="160">
        <f t="shared" si="4"/>
        <v>0.25</v>
      </c>
      <c r="E19" s="160">
        <f t="shared" si="4"/>
        <v>0.25</v>
      </c>
      <c r="F19" s="160">
        <f t="shared" si="5"/>
        <v>0.3</v>
      </c>
      <c r="G19" s="160">
        <f t="shared" si="5"/>
        <v>0.3</v>
      </c>
      <c r="H19" s="160">
        <f t="shared" si="5"/>
        <v>0.3</v>
      </c>
      <c r="I19" s="160">
        <f t="shared" si="6"/>
        <v>0.35</v>
      </c>
      <c r="J19" s="160">
        <f t="shared" si="6"/>
        <v>0.35</v>
      </c>
      <c r="K19" s="161">
        <f t="shared" si="6"/>
        <v>0.35</v>
      </c>
    </row>
    <row r="20" spans="1:11" x14ac:dyDescent="0.3">
      <c r="A20" s="41" t="s">
        <v>45</v>
      </c>
      <c r="B20" s="162">
        <f t="shared" si="3"/>
        <v>0.15</v>
      </c>
      <c r="C20" s="163">
        <f>$J11</f>
        <v>0.25</v>
      </c>
      <c r="D20" s="163">
        <f t="shared" ref="D20:E20" si="7">$J11</f>
        <v>0.25</v>
      </c>
      <c r="E20" s="163">
        <f t="shared" si="7"/>
        <v>0.25</v>
      </c>
      <c r="F20" s="163">
        <f t="shared" si="5"/>
        <v>0.3</v>
      </c>
      <c r="G20" s="163">
        <f t="shared" si="5"/>
        <v>0.3</v>
      </c>
      <c r="H20" s="163">
        <f t="shared" si="5"/>
        <v>0.3</v>
      </c>
      <c r="I20" s="163">
        <f t="shared" si="6"/>
        <v>0.35</v>
      </c>
      <c r="J20" s="163">
        <f t="shared" si="6"/>
        <v>0.35</v>
      </c>
      <c r="K20" s="164">
        <f t="shared" si="6"/>
        <v>0.35</v>
      </c>
    </row>
    <row r="22" spans="1:11" x14ac:dyDescent="0.3">
      <c r="A22" s="1" t="s">
        <v>112</v>
      </c>
    </row>
    <row r="24" spans="1:11" x14ac:dyDescent="0.3">
      <c r="A24" s="138" t="s">
        <v>295</v>
      </c>
      <c r="B24" s="13" t="s">
        <v>115</v>
      </c>
      <c r="C24" s="13" t="s">
        <v>116</v>
      </c>
      <c r="D24" s="13" t="s">
        <v>117</v>
      </c>
    </row>
    <row r="25" spans="1:11" x14ac:dyDescent="0.3">
      <c r="A25" s="3" t="s">
        <v>0</v>
      </c>
      <c r="B25" s="14">
        <v>107930</v>
      </c>
      <c r="C25" s="14">
        <v>46589</v>
      </c>
      <c r="D25" s="14">
        <v>149401</v>
      </c>
    </row>
    <row r="26" spans="1:11" x14ac:dyDescent="0.3">
      <c r="A26" s="3" t="s">
        <v>18</v>
      </c>
      <c r="B26" s="14">
        <v>50134</v>
      </c>
      <c r="C26" s="14">
        <v>11430</v>
      </c>
      <c r="D26" s="14">
        <v>23483</v>
      </c>
    </row>
    <row r="27" spans="1:11" x14ac:dyDescent="0.3">
      <c r="A27" s="3" t="s">
        <v>19</v>
      </c>
      <c r="B27" s="5">
        <f>B26/B25</f>
        <v>0.46450477161122949</v>
      </c>
      <c r="C27" s="5">
        <f>C26/C25</f>
        <v>0.24533688209663226</v>
      </c>
      <c r="D27" s="5">
        <f>D26/D25</f>
        <v>0.1571810094979284</v>
      </c>
    </row>
  </sheetData>
  <mergeCells count="4">
    <mergeCell ref="B3:E3"/>
    <mergeCell ref="G3:J3"/>
    <mergeCell ref="L3:O3"/>
    <mergeCell ref="Q3:T3"/>
  </mergeCells>
  <hyperlinks>
    <hyperlink ref="B1" location="Index!A1" display="Back to Index"/>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13"/>
  <sheetViews>
    <sheetView topLeftCell="A4" zoomScale="90" zoomScaleNormal="90" workbookViewId="0">
      <selection activeCell="A6" sqref="A6"/>
    </sheetView>
  </sheetViews>
  <sheetFormatPr defaultRowHeight="14.4" x14ac:dyDescent="0.3"/>
  <cols>
    <col min="1" max="1" width="41.44140625" customWidth="1"/>
  </cols>
  <sheetData>
    <row r="1" spans="1:11" x14ac:dyDescent="0.3">
      <c r="A1" s="49" t="s">
        <v>123</v>
      </c>
      <c r="B1" s="59" t="s">
        <v>59</v>
      </c>
    </row>
    <row r="3" spans="1:11" x14ac:dyDescent="0.3">
      <c r="A3" s="138" t="s">
        <v>288</v>
      </c>
      <c r="B3" s="29">
        <v>2011</v>
      </c>
      <c r="C3" s="29">
        <v>2012</v>
      </c>
      <c r="D3" s="29">
        <v>2013</v>
      </c>
      <c r="E3" s="29">
        <v>2014</v>
      </c>
      <c r="F3" s="29">
        <v>2015</v>
      </c>
      <c r="G3" s="29">
        <v>2016</v>
      </c>
      <c r="H3" s="29">
        <v>2017</v>
      </c>
      <c r="I3" s="29">
        <v>2018</v>
      </c>
      <c r="J3" s="29">
        <v>2019</v>
      </c>
      <c r="K3" s="29">
        <v>2020</v>
      </c>
    </row>
    <row r="4" spans="1:11" x14ac:dyDescent="0.3">
      <c r="A4" s="41" t="s">
        <v>32</v>
      </c>
      <c r="B4" s="165">
        <f>'10'!B5*'11'!B14</f>
        <v>0.48749999999999999</v>
      </c>
      <c r="C4" s="165">
        <f>'10'!C5*'11'!C14</f>
        <v>1.1575000000000002</v>
      </c>
      <c r="D4" s="165">
        <f>'10'!D5*'11'!D14</f>
        <v>1.5163000000000002</v>
      </c>
      <c r="E4" s="165">
        <f>'10'!E5*'11'!E14</f>
        <v>1.8894520000000001</v>
      </c>
      <c r="F4" s="165">
        <f>'10'!F5*'11'!F14</f>
        <v>2.7330360960000006</v>
      </c>
      <c r="G4" s="165">
        <f>'10'!G5*'11'!G14</f>
        <v>3.1717330560000003</v>
      </c>
      <c r="H4" s="165">
        <f>'10'!H5*'11'!H14</f>
        <v>3.6788667417600003</v>
      </c>
      <c r="I4" s="165">
        <f>'10'!I5*'11'!I14</f>
        <v>4.9191665234432014</v>
      </c>
      <c r="J4" s="165">
        <f>'10'!J5*'11'!J14</f>
        <v>5.5839511676497926</v>
      </c>
      <c r="K4" s="165">
        <f>'10'!K5*'11'!K14</f>
        <v>6.2886228905087806</v>
      </c>
    </row>
    <row r="5" spans="1:11" x14ac:dyDescent="0.3">
      <c r="A5" s="41" t="s">
        <v>41</v>
      </c>
      <c r="B5" s="165">
        <f>'10'!B6*'11'!B15</f>
        <v>0.9375</v>
      </c>
      <c r="C5" s="165">
        <f>'10'!C6*'11'!C15</f>
        <v>2.2500000000000004</v>
      </c>
      <c r="D5" s="165">
        <f>'10'!D6*'11'!D15</f>
        <v>2.9650000000000003</v>
      </c>
      <c r="E5" s="165">
        <f>'10'!E6*'11'!E15</f>
        <v>3.7086000000000006</v>
      </c>
      <c r="F5" s="165">
        <f>'10'!F6*'11'!F15</f>
        <v>5.3783327999999999</v>
      </c>
      <c r="G5" s="165">
        <f>'10'!G6*'11'!G15</f>
        <v>6.2557267200000002</v>
      </c>
      <c r="H5" s="165">
        <f>'10'!H6*'11'!H15</f>
        <v>7.2647297280000007</v>
      </c>
      <c r="I5" s="165">
        <f>'10'!I6*'11'!I15</f>
        <v>9.7233184025600004</v>
      </c>
      <c r="J5" s="165">
        <f>'10'!J6*'11'!J15</f>
        <v>11.045986812313602</v>
      </c>
      <c r="K5" s="165">
        <f>'10'!K6*'11'!K15</f>
        <v>12.448015326652419</v>
      </c>
    </row>
    <row r="6" spans="1:11" x14ac:dyDescent="0.3">
      <c r="A6" s="41" t="s">
        <v>366</v>
      </c>
      <c r="B6" s="165">
        <f>SUM('10'!B8:B9)*'11'!B16</f>
        <v>0.84375</v>
      </c>
      <c r="C6" s="165">
        <f>SUM('10'!C8:C9)*'11'!C16</f>
        <v>2.1187499999999999</v>
      </c>
      <c r="D6" s="165">
        <f>SUM('10'!D8:D9)*'11'!D16</f>
        <v>2.85975</v>
      </c>
      <c r="E6" s="165">
        <f>SUM('10'!E8:E9)*'11'!E16</f>
        <v>3.6303899999999998</v>
      </c>
      <c r="F6" s="165">
        <f>SUM('10'!F8:F9)*'11'!F16</f>
        <v>5.3182267199999993</v>
      </c>
      <c r="G6" s="165">
        <f>SUM('10'!G8:G9)*'11'!G16</f>
        <v>6.2394903360000002</v>
      </c>
      <c r="H6" s="165">
        <f>SUM('10'!H8:H9)*'11'!H16</f>
        <v>7.2792021311999999</v>
      </c>
      <c r="I6" s="165">
        <f>SUM('10'!I8:I9)*'11'!I16</f>
        <v>9.778179406464</v>
      </c>
      <c r="J6" s="165">
        <f>SUM('10'!J8:J9)*'11'!J16</f>
        <v>11.141102941731841</v>
      </c>
      <c r="K6" s="165">
        <f>SUM('10'!K8:K9)*'11'!K16</f>
        <v>12.58580188911575</v>
      </c>
    </row>
    <row r="7" spans="1:11" x14ac:dyDescent="0.3">
      <c r="A7" s="41" t="s">
        <v>43</v>
      </c>
      <c r="B7" s="165">
        <f>SUM('10'!B11:B12)*'11'!B17</f>
        <v>4.1624999999999996</v>
      </c>
      <c r="C7" s="165">
        <f>SUM('10'!C11:C12)*'11'!C17</f>
        <v>10.215</v>
      </c>
      <c r="D7" s="165">
        <f>SUM('10'!D11:D12)*'11'!D17</f>
        <v>13.6236</v>
      </c>
      <c r="E7" s="165">
        <f>SUM('10'!E11:E12)*'11'!E17</f>
        <v>17.168544000000001</v>
      </c>
      <c r="F7" s="165">
        <f>SUM('10'!F11:F12)*'11'!F17</f>
        <v>25.026342912</v>
      </c>
      <c r="G7" s="165">
        <f>SUM('10'!G11:G12)*'11'!G17</f>
        <v>29.237833728000002</v>
      </c>
      <c r="H7" s="165">
        <f>SUM('10'!H11:H12)*'11'!H17</f>
        <v>34.033668894720002</v>
      </c>
      <c r="I7" s="165">
        <f>SUM('10'!I11:I12)*'11'!I17</f>
        <v>45.636796533350399</v>
      </c>
      <c r="J7" s="165">
        <f>SUM('10'!J11:J12)*'11'!J17</f>
        <v>51.923496992231421</v>
      </c>
      <c r="K7" s="165">
        <f>SUM('10'!K11:K12)*'11'!K17</f>
        <v>58.587399478645317</v>
      </c>
    </row>
    <row r="8" spans="1:11" x14ac:dyDescent="0.3">
      <c r="A8" s="41" t="s">
        <v>46</v>
      </c>
      <c r="B8" s="165">
        <f>SUM('10'!B14:B15)*'11'!B18</f>
        <v>3.375</v>
      </c>
      <c r="C8" s="165">
        <f>SUM('10'!C14:C15)*'11'!C18</f>
        <v>8.4749999999999996</v>
      </c>
      <c r="D8" s="165">
        <f>SUM('10'!D14:D15)*'11'!D18</f>
        <v>11.439</v>
      </c>
      <c r="E8" s="165">
        <f>SUM('10'!E14:E15)*'11'!E18</f>
        <v>14.521559999999999</v>
      </c>
      <c r="F8" s="165">
        <f>SUM('10'!F14:F15)*'11'!F18</f>
        <v>21.272906879999997</v>
      </c>
      <c r="G8" s="165">
        <f>SUM('10'!G14:G15)*'11'!G18</f>
        <v>24.957961344000001</v>
      </c>
      <c r="H8" s="165">
        <f>SUM('10'!H14:H15)*'11'!H18</f>
        <v>29.1168085248</v>
      </c>
      <c r="I8" s="165">
        <f>SUM('10'!I14:I15)*'11'!I18</f>
        <v>39.112717625856</v>
      </c>
      <c r="J8" s="165">
        <f>SUM('10'!J14:J15)*'11'!J18</f>
        <v>44.564411766927364</v>
      </c>
      <c r="K8" s="165">
        <f>SUM('10'!K14:K15)*'11'!K18</f>
        <v>50.343207556463</v>
      </c>
    </row>
    <row r="9" spans="1:11" x14ac:dyDescent="0.3">
      <c r="A9" s="41" t="s">
        <v>44</v>
      </c>
      <c r="B9" s="165">
        <f>'10'!B16*'11'!B19</f>
        <v>0.9375</v>
      </c>
      <c r="C9" s="165">
        <f>'10'!C16*'11'!C19</f>
        <v>2.2500000000000004</v>
      </c>
      <c r="D9" s="165">
        <f>'10'!D16*'11'!D19</f>
        <v>2.9650000000000003</v>
      </c>
      <c r="E9" s="165">
        <f>'10'!E16*'11'!E19</f>
        <v>3.7086000000000006</v>
      </c>
      <c r="F9" s="165">
        <f>'10'!F16*'11'!F19</f>
        <v>5.3783327999999999</v>
      </c>
      <c r="G9" s="165">
        <f>'10'!G16*'11'!G19</f>
        <v>6.2557267200000002</v>
      </c>
      <c r="H9" s="165">
        <f>'10'!H16*'11'!H19</f>
        <v>7.2647297280000007</v>
      </c>
      <c r="I9" s="165">
        <f>'10'!I16*'11'!I19</f>
        <v>9.7233184025600004</v>
      </c>
      <c r="J9" s="165">
        <f>'10'!J16*'11'!J19</f>
        <v>11.045986812313602</v>
      </c>
      <c r="K9" s="165">
        <f>'10'!K16*'11'!K19</f>
        <v>12.448015326652419</v>
      </c>
    </row>
    <row r="10" spans="1:11" x14ac:dyDescent="0.3">
      <c r="A10" s="60" t="s">
        <v>60</v>
      </c>
      <c r="B10" s="166">
        <f>'10'!B17*'11'!B20</f>
        <v>0.9375</v>
      </c>
      <c r="C10" s="166">
        <f>'10'!C17*'11'!C20</f>
        <v>2.2500000000000004</v>
      </c>
      <c r="D10" s="166">
        <f>'10'!D17*'11'!D20</f>
        <v>2.9650000000000003</v>
      </c>
      <c r="E10" s="166">
        <f>'10'!E17*'11'!E20</f>
        <v>3.7086000000000006</v>
      </c>
      <c r="F10" s="166">
        <f>'10'!F17*'11'!F20</f>
        <v>5.3783327999999999</v>
      </c>
      <c r="G10" s="166">
        <f>'10'!G17*'11'!G20</f>
        <v>6.2557267200000002</v>
      </c>
      <c r="H10" s="166">
        <f>'10'!H17*'11'!H20</f>
        <v>7.2647297280000007</v>
      </c>
      <c r="I10" s="166">
        <f>'10'!I17*'11'!I20</f>
        <v>9.7233184025600004</v>
      </c>
      <c r="J10" s="166">
        <f>'10'!J17*'11'!J20</f>
        <v>11.045986812313602</v>
      </c>
      <c r="K10" s="166">
        <f>'10'!K17*'11'!K20</f>
        <v>12.448015326652419</v>
      </c>
    </row>
    <row r="11" spans="1:11" x14ac:dyDescent="0.3">
      <c r="A11" s="41" t="s">
        <v>33</v>
      </c>
      <c r="B11" s="165">
        <f>SUM(B4:B10)</f>
        <v>11.681249999999999</v>
      </c>
      <c r="C11" s="165">
        <f t="shared" ref="C11:K11" si="0">SUM(C4:C10)</f>
        <v>28.716250000000002</v>
      </c>
      <c r="D11" s="165">
        <f t="shared" si="0"/>
        <v>38.333650000000006</v>
      </c>
      <c r="E11" s="165">
        <f t="shared" si="0"/>
        <v>48.335746</v>
      </c>
      <c r="F11" s="165">
        <f t="shared" si="0"/>
        <v>70.485511007999989</v>
      </c>
      <c r="G11" s="165">
        <f t="shared" si="0"/>
        <v>82.374198624000002</v>
      </c>
      <c r="H11" s="165">
        <f t="shared" si="0"/>
        <v>95.902735476480018</v>
      </c>
      <c r="I11" s="165">
        <f t="shared" si="0"/>
        <v>128.61681529679359</v>
      </c>
      <c r="J11" s="165">
        <f t="shared" si="0"/>
        <v>146.35092330548122</v>
      </c>
      <c r="K11" s="165">
        <f t="shared" si="0"/>
        <v>165.14907779469007</v>
      </c>
    </row>
    <row r="12" spans="1:11" x14ac:dyDescent="0.3">
      <c r="B12" s="134"/>
    </row>
    <row r="13" spans="1:11" x14ac:dyDescent="0.3">
      <c r="A13" s="20" t="s">
        <v>296</v>
      </c>
      <c r="B13" s="134"/>
    </row>
  </sheetData>
  <hyperlinks>
    <hyperlink ref="B1" location="Index!A1" display="Back to Index"/>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7"/>
  <sheetViews>
    <sheetView topLeftCell="A13" zoomScale="110" zoomScaleNormal="110" workbookViewId="0">
      <selection activeCell="C1" sqref="C1"/>
    </sheetView>
  </sheetViews>
  <sheetFormatPr defaultRowHeight="14.4" x14ac:dyDescent="0.3"/>
  <cols>
    <col min="1" max="1" width="32" customWidth="1"/>
    <col min="2" max="4" width="12.109375" bestFit="1" customWidth="1"/>
    <col min="5" max="14" width="12.109375" customWidth="1"/>
  </cols>
  <sheetData>
    <row r="1" spans="1:6" x14ac:dyDescent="0.3">
      <c r="A1" s="1" t="s">
        <v>218</v>
      </c>
      <c r="C1" s="59" t="s">
        <v>59</v>
      </c>
    </row>
    <row r="2" spans="1:6" x14ac:dyDescent="0.3">
      <c r="A2" s="56"/>
      <c r="C2" s="13"/>
      <c r="D2" s="13"/>
    </row>
    <row r="3" spans="1:6" x14ac:dyDescent="0.3">
      <c r="B3" s="27" t="s">
        <v>34</v>
      </c>
      <c r="C3" s="27" t="s">
        <v>35</v>
      </c>
      <c r="D3" s="27" t="s">
        <v>36</v>
      </c>
      <c r="E3" s="27" t="s">
        <v>37</v>
      </c>
    </row>
    <row r="4" spans="1:6" x14ac:dyDescent="0.3">
      <c r="A4" s="20" t="s">
        <v>295</v>
      </c>
      <c r="B4" s="9"/>
      <c r="C4" s="9"/>
      <c r="D4" s="9"/>
      <c r="E4" s="9"/>
    </row>
    <row r="5" spans="1:6" x14ac:dyDescent="0.3">
      <c r="A5" t="s">
        <v>106</v>
      </c>
      <c r="B5" s="14">
        <v>213857</v>
      </c>
      <c r="C5" s="14">
        <v>243738</v>
      </c>
      <c r="D5" s="14">
        <v>326167</v>
      </c>
      <c r="E5" s="14">
        <v>393004</v>
      </c>
    </row>
    <row r="6" spans="1:6" x14ac:dyDescent="0.3">
      <c r="A6" t="s">
        <v>108</v>
      </c>
      <c r="B6" s="14">
        <v>87246</v>
      </c>
      <c r="C6" s="14">
        <v>101090</v>
      </c>
      <c r="D6" s="14">
        <v>325813</v>
      </c>
      <c r="E6" s="14">
        <v>189717</v>
      </c>
    </row>
    <row r="7" spans="1:6" x14ac:dyDescent="0.3">
      <c r="A7" t="s">
        <v>107</v>
      </c>
      <c r="B7" s="14">
        <v>125531</v>
      </c>
      <c r="C7" s="14">
        <v>142342</v>
      </c>
      <c r="D7" s="14">
        <v>178127</v>
      </c>
      <c r="E7" s="14">
        <v>203287</v>
      </c>
    </row>
    <row r="8" spans="1:6" ht="16.2" x14ac:dyDescent="0.45">
      <c r="A8" t="s">
        <v>109</v>
      </c>
      <c r="B8" s="128">
        <v>82351</v>
      </c>
      <c r="C8" s="128">
        <v>92147</v>
      </c>
      <c r="D8" s="128">
        <v>113803</v>
      </c>
      <c r="E8" s="128">
        <v>127114</v>
      </c>
    </row>
    <row r="9" spans="1:6" x14ac:dyDescent="0.3">
      <c r="A9" t="s">
        <v>18</v>
      </c>
      <c r="B9" s="14">
        <v>43180</v>
      </c>
      <c r="C9" s="14">
        <v>50195</v>
      </c>
      <c r="D9" s="14">
        <v>64324</v>
      </c>
      <c r="E9" s="14">
        <v>76143</v>
      </c>
    </row>
    <row r="10" spans="1:6" s="20" customFormat="1" x14ac:dyDescent="0.3">
      <c r="A10" s="20" t="s">
        <v>294</v>
      </c>
      <c r="B10" s="344"/>
      <c r="C10" s="344"/>
      <c r="D10" s="344"/>
      <c r="E10" s="344"/>
      <c r="F10" s="345"/>
    </row>
    <row r="11" spans="1:6" s="87" customFormat="1" ht="10.199999999999999" x14ac:dyDescent="0.2">
      <c r="B11" s="169"/>
      <c r="C11" s="169"/>
      <c r="D11" s="169"/>
      <c r="E11" s="169"/>
      <c r="F11" s="170"/>
    </row>
    <row r="12" spans="1:6" x14ac:dyDescent="0.3">
      <c r="A12" s="20" t="s">
        <v>297</v>
      </c>
    </row>
    <row r="13" spans="1:6" x14ac:dyDescent="0.3">
      <c r="A13" t="s">
        <v>106</v>
      </c>
      <c r="B13" s="16">
        <f t="shared" ref="B13" si="0">(B5/1.1)/1000</f>
        <v>194.41545454545454</v>
      </c>
      <c r="C13" s="16">
        <f t="shared" ref="C13:E17" si="1">(C5/1.1)/1000</f>
        <v>221.57999999999998</v>
      </c>
      <c r="D13" s="16">
        <f t="shared" si="1"/>
        <v>296.51545454545453</v>
      </c>
      <c r="E13" s="16">
        <f t="shared" si="1"/>
        <v>357.27636363636361</v>
      </c>
    </row>
    <row r="14" spans="1:6" x14ac:dyDescent="0.3">
      <c r="A14" t="s">
        <v>108</v>
      </c>
      <c r="B14" s="16">
        <f t="shared" ref="B14" si="2">(B6/1.1)/1000</f>
        <v>79.314545454545438</v>
      </c>
      <c r="C14" s="16">
        <f t="shared" si="1"/>
        <v>91.899999999999991</v>
      </c>
      <c r="D14" s="16">
        <f t="shared" si="1"/>
        <v>296.19363636363636</v>
      </c>
      <c r="E14" s="16">
        <f t="shared" si="1"/>
        <v>172.47</v>
      </c>
    </row>
    <row r="15" spans="1:6" x14ac:dyDescent="0.3">
      <c r="A15" t="s">
        <v>107</v>
      </c>
      <c r="B15" s="16">
        <f t="shared" ref="B15" si="3">(B7/1.1)/1000</f>
        <v>114.1190909090909</v>
      </c>
      <c r="C15" s="16">
        <f t="shared" si="1"/>
        <v>129.40181818181819</v>
      </c>
      <c r="D15" s="16">
        <f t="shared" si="1"/>
        <v>161.93363636363637</v>
      </c>
      <c r="E15" s="16">
        <f t="shared" si="1"/>
        <v>184.80636363636361</v>
      </c>
    </row>
    <row r="16" spans="1:6" ht="16.2" x14ac:dyDescent="0.45">
      <c r="A16" t="s">
        <v>109</v>
      </c>
      <c r="B16" s="139">
        <f t="shared" ref="B16" si="4">(B8/1.1)/1000</f>
        <v>74.864545454545436</v>
      </c>
      <c r="C16" s="139">
        <f t="shared" si="1"/>
        <v>83.77</v>
      </c>
      <c r="D16" s="139">
        <f t="shared" si="1"/>
        <v>103.45727272727272</v>
      </c>
      <c r="E16" s="139">
        <f t="shared" si="1"/>
        <v>115.55818181818181</v>
      </c>
    </row>
    <row r="17" spans="1:6" x14ac:dyDescent="0.3">
      <c r="A17" t="s">
        <v>18</v>
      </c>
      <c r="B17" s="16">
        <f t="shared" ref="B17" si="5">(B9/1.1)/1000</f>
        <v>39.25454545454545</v>
      </c>
      <c r="C17" s="16">
        <f t="shared" si="1"/>
        <v>45.631818181818176</v>
      </c>
      <c r="D17" s="16">
        <f t="shared" si="1"/>
        <v>58.476363636363629</v>
      </c>
      <c r="E17" s="16">
        <f t="shared" si="1"/>
        <v>69.220909090909089</v>
      </c>
    </row>
    <row r="19" spans="1:6" x14ac:dyDescent="0.3">
      <c r="A19" s="1" t="s">
        <v>110</v>
      </c>
      <c r="B19" s="27" t="s">
        <v>34</v>
      </c>
      <c r="C19" s="27" t="s">
        <v>35</v>
      </c>
      <c r="D19" s="27" t="s">
        <v>36</v>
      </c>
      <c r="E19" s="27" t="s">
        <v>37</v>
      </c>
    </row>
    <row r="20" spans="1:6" x14ac:dyDescent="0.3">
      <c r="A20" t="s">
        <v>111</v>
      </c>
      <c r="B20" s="140">
        <f>B7/B5</f>
        <v>0.58698569604922912</v>
      </c>
      <c r="C20" s="140">
        <f>C7/C5</f>
        <v>0.58399593005604378</v>
      </c>
      <c r="D20" s="140">
        <f>D7/D5</f>
        <v>0.54612207856711437</v>
      </c>
      <c r="E20" s="140">
        <f>E7/E5</f>
        <v>0.51726445532360998</v>
      </c>
    </row>
    <row r="21" spans="1:6" x14ac:dyDescent="0.3">
      <c r="A21" t="s">
        <v>19</v>
      </c>
      <c r="B21" s="5">
        <f>B9/B5</f>
        <v>0.20191062251878591</v>
      </c>
      <c r="C21" s="5">
        <f>C9/C5</f>
        <v>0.20593834363127619</v>
      </c>
      <c r="D21" s="5">
        <f>D9/D5</f>
        <v>0.1972118577293227</v>
      </c>
      <c r="E21" s="5">
        <f>E9/E5</f>
        <v>0.19374611963237015</v>
      </c>
    </row>
    <row r="23" spans="1:6" x14ac:dyDescent="0.3">
      <c r="A23" s="1" t="s">
        <v>113</v>
      </c>
      <c r="F23" s="27" t="s">
        <v>80</v>
      </c>
    </row>
    <row r="24" spans="1:6" x14ac:dyDescent="0.3">
      <c r="A24" t="s">
        <v>0</v>
      </c>
      <c r="B24" s="141" t="s">
        <v>114</v>
      </c>
      <c r="C24" s="15">
        <f>(C5-B5)/B5</f>
        <v>0.13972420823260404</v>
      </c>
      <c r="D24" s="15">
        <f t="shared" ref="D24:E24" si="6">(D5-C5)/C5</f>
        <v>0.33818690561176346</v>
      </c>
      <c r="E24" s="15">
        <f t="shared" si="6"/>
        <v>0.20491649982984178</v>
      </c>
      <c r="F24" s="142">
        <f>(E5/B5)^(1/3)-1</f>
        <v>0.22487329687437585</v>
      </c>
    </row>
    <row r="25" spans="1:6" x14ac:dyDescent="0.3">
      <c r="A25" t="s">
        <v>18</v>
      </c>
      <c r="B25" s="141" t="s">
        <v>114</v>
      </c>
      <c r="C25" s="15">
        <f>(C17-B17)/B17</f>
        <v>0.16245947197776744</v>
      </c>
      <c r="D25" s="15">
        <f t="shared" ref="D25:E25" si="7">(D17-C17)/C17</f>
        <v>0.28148221934455625</v>
      </c>
      <c r="E25" s="15">
        <f t="shared" si="7"/>
        <v>0.18374168273117353</v>
      </c>
      <c r="F25" s="143">
        <f>(E9/B9)^(1/3)-1</f>
        <v>0.20813587851120885</v>
      </c>
    </row>
    <row r="27" spans="1:6" s="20" customFormat="1" x14ac:dyDescent="0.3">
      <c r="A27" s="20" t="s">
        <v>276</v>
      </c>
    </row>
  </sheetData>
  <hyperlinks>
    <hyperlink ref="C1" location="Index!A1" display="Back to Index"/>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29"/>
  <sheetViews>
    <sheetView topLeftCell="A28" zoomScale="90" zoomScaleNormal="90" workbookViewId="0">
      <selection activeCell="C3" sqref="C3"/>
    </sheetView>
  </sheetViews>
  <sheetFormatPr defaultRowHeight="14.4" x14ac:dyDescent="0.3"/>
  <cols>
    <col min="1" max="1" width="46.109375" customWidth="1"/>
    <col min="2" max="6" width="10.6640625" customWidth="1"/>
    <col min="7" max="7" width="11" customWidth="1"/>
    <col min="8" max="11" width="10" bestFit="1" customWidth="1"/>
  </cols>
  <sheetData>
    <row r="1" spans="1:11" x14ac:dyDescent="0.3">
      <c r="A1" s="1" t="s">
        <v>322</v>
      </c>
      <c r="B1" s="59" t="s">
        <v>59</v>
      </c>
    </row>
    <row r="2" spans="1:11" x14ac:dyDescent="0.3">
      <c r="A2" s="1"/>
    </row>
    <row r="3" spans="1:11" x14ac:dyDescent="0.3">
      <c r="A3" s="1" t="s">
        <v>367</v>
      </c>
      <c r="F3" s="27" t="s">
        <v>78</v>
      </c>
    </row>
    <row r="4" spans="1:11" x14ac:dyDescent="0.3">
      <c r="A4" s="20" t="s">
        <v>288</v>
      </c>
      <c r="B4" s="27" t="s">
        <v>34</v>
      </c>
      <c r="C4" s="27" t="s">
        <v>35</v>
      </c>
      <c r="D4" s="27" t="s">
        <v>36</v>
      </c>
      <c r="E4" s="27" t="s">
        <v>37</v>
      </c>
      <c r="F4" s="93" t="s">
        <v>126</v>
      </c>
    </row>
    <row r="5" spans="1:11" x14ac:dyDescent="0.3">
      <c r="A5" t="s">
        <v>106</v>
      </c>
      <c r="B5" s="174">
        <f>'13'!B13</f>
        <v>194.41545454545454</v>
      </c>
      <c r="C5" s="174">
        <f>'13'!C13</f>
        <v>221.57999999999998</v>
      </c>
      <c r="D5" s="174">
        <f>'13'!D13</f>
        <v>296.51545454545453</v>
      </c>
      <c r="E5" s="174">
        <f>'13'!E13</f>
        <v>357.27636363636361</v>
      </c>
      <c r="F5" s="167">
        <f>'13'!F24</f>
        <v>0.22487329687437585</v>
      </c>
    </row>
    <row r="6" spans="1:11" x14ac:dyDescent="0.3">
      <c r="A6" t="s">
        <v>18</v>
      </c>
      <c r="B6" s="174">
        <f>'13'!B17</f>
        <v>39.25454545454545</v>
      </c>
      <c r="C6" s="174">
        <f>'13'!C17</f>
        <v>45.631818181818176</v>
      </c>
      <c r="D6" s="174">
        <f>'13'!D17</f>
        <v>58.476363636363629</v>
      </c>
      <c r="E6" s="174">
        <f>'13'!E17</f>
        <v>69.220909090909089</v>
      </c>
      <c r="F6" s="168">
        <f>'13'!F25</f>
        <v>0.20813587851120885</v>
      </c>
    </row>
    <row r="7" spans="1:11" s="20" customFormat="1" x14ac:dyDescent="0.3">
      <c r="A7" s="20" t="s">
        <v>294</v>
      </c>
      <c r="B7" s="344"/>
      <c r="C7" s="344"/>
      <c r="D7" s="344"/>
      <c r="E7" s="344"/>
      <c r="F7" s="345"/>
    </row>
    <row r="8" spans="1:11" x14ac:dyDescent="0.3">
      <c r="B8" s="380" t="s">
        <v>67</v>
      </c>
      <c r="C8" s="381"/>
      <c r="D8" s="381"/>
      <c r="E8" s="382"/>
    </row>
    <row r="9" spans="1:11" x14ac:dyDescent="0.3">
      <c r="A9" s="20"/>
      <c r="B9" s="171" t="s">
        <v>63</v>
      </c>
      <c r="C9" s="172" t="s">
        <v>64</v>
      </c>
      <c r="D9" s="173" t="s">
        <v>65</v>
      </c>
      <c r="E9" s="65" t="s">
        <v>66</v>
      </c>
    </row>
    <row r="10" spans="1:11" x14ac:dyDescent="0.3">
      <c r="A10" t="s">
        <v>127</v>
      </c>
      <c r="B10" s="198">
        <f>C10*(1+Foreward!$AA$12)</f>
        <v>0.26400000000000001</v>
      </c>
      <c r="C10" s="175">
        <v>0.22</v>
      </c>
      <c r="D10" s="199">
        <f>C10*(1-Foreward!$AA$13)</f>
        <v>0.187</v>
      </c>
      <c r="E10" s="176">
        <v>0.22</v>
      </c>
    </row>
    <row r="11" spans="1:11" x14ac:dyDescent="0.3">
      <c r="A11" t="s">
        <v>128</v>
      </c>
      <c r="B11" s="149">
        <f>C11*(1+Foreward!$AA$12)</f>
        <v>0.252</v>
      </c>
      <c r="C11" s="200">
        <v>0.21</v>
      </c>
      <c r="D11" s="150">
        <f>C11*(1-Foreward!$AA$13)</f>
        <v>0.17849999999999999</v>
      </c>
      <c r="E11" s="177">
        <v>0.21</v>
      </c>
    </row>
    <row r="13" spans="1:11" x14ac:dyDescent="0.3">
      <c r="A13" s="1" t="s">
        <v>306</v>
      </c>
    </row>
    <row r="14" spans="1:11" x14ac:dyDescent="0.3">
      <c r="A14" s="20" t="s">
        <v>288</v>
      </c>
      <c r="B14" s="27">
        <v>2011</v>
      </c>
      <c r="C14" s="27">
        <v>2012</v>
      </c>
      <c r="D14" s="27">
        <v>2013</v>
      </c>
      <c r="E14" s="27">
        <v>2014</v>
      </c>
      <c r="F14" s="27">
        <v>2015</v>
      </c>
      <c r="G14" s="27">
        <v>2016</v>
      </c>
      <c r="H14" s="27">
        <v>2017</v>
      </c>
      <c r="I14" s="27">
        <v>2018</v>
      </c>
      <c r="J14" s="27">
        <v>2019</v>
      </c>
      <c r="K14" s="27">
        <v>2020</v>
      </c>
    </row>
    <row r="15" spans="1:11" x14ac:dyDescent="0.3">
      <c r="A15" t="s">
        <v>106</v>
      </c>
      <c r="B15" s="19">
        <f>E5*(1+$E10)</f>
        <v>435.8771636363636</v>
      </c>
      <c r="C15" s="19">
        <f>B15*(1+$E10)</f>
        <v>531.77013963636364</v>
      </c>
      <c r="D15" s="19">
        <f t="shared" ref="D15:K15" si="0">C15*(1+$E10)</f>
        <v>648.75957035636361</v>
      </c>
      <c r="E15" s="19">
        <f t="shared" si="0"/>
        <v>791.48667583476356</v>
      </c>
      <c r="F15" s="19">
        <f t="shared" si="0"/>
        <v>965.61374451841152</v>
      </c>
      <c r="G15" s="19">
        <f t="shared" si="0"/>
        <v>1178.048768312462</v>
      </c>
      <c r="H15" s="19">
        <f t="shared" si="0"/>
        <v>1437.2194973412036</v>
      </c>
      <c r="I15" s="19">
        <f t="shared" si="0"/>
        <v>1753.4077867562683</v>
      </c>
      <c r="J15" s="19">
        <f t="shared" si="0"/>
        <v>2139.1574998426472</v>
      </c>
      <c r="K15" s="19">
        <f t="shared" si="0"/>
        <v>2609.7721498080296</v>
      </c>
    </row>
    <row r="16" spans="1:11" x14ac:dyDescent="0.3">
      <c r="A16" t="s">
        <v>18</v>
      </c>
      <c r="B16" s="19">
        <f>E6*(1+$E11)</f>
        <v>83.757300000000001</v>
      </c>
      <c r="C16" s="19">
        <f>B16*(1+$E11)</f>
        <v>101.346333</v>
      </c>
      <c r="D16" s="19">
        <f t="shared" ref="D16:K16" si="1">C16*(1+$E11)</f>
        <v>122.62906293</v>
      </c>
      <c r="E16" s="19">
        <f t="shared" si="1"/>
        <v>148.3811661453</v>
      </c>
      <c r="F16" s="19">
        <f t="shared" si="1"/>
        <v>179.54121103581301</v>
      </c>
      <c r="G16" s="19">
        <f t="shared" si="1"/>
        <v>217.24486535333372</v>
      </c>
      <c r="H16" s="19">
        <f t="shared" si="1"/>
        <v>262.8662870775338</v>
      </c>
      <c r="I16" s="19">
        <f t="shared" si="1"/>
        <v>318.06820736381587</v>
      </c>
      <c r="J16" s="19">
        <f t="shared" si="1"/>
        <v>384.86253091021717</v>
      </c>
      <c r="K16" s="19">
        <f t="shared" si="1"/>
        <v>465.68366240136277</v>
      </c>
    </row>
    <row r="18" spans="1:11" x14ac:dyDescent="0.3">
      <c r="A18" s="1" t="s">
        <v>307</v>
      </c>
    </row>
    <row r="19" spans="1:11" x14ac:dyDescent="0.3">
      <c r="A19" s="20" t="s">
        <v>288</v>
      </c>
      <c r="B19" s="27">
        <v>2011</v>
      </c>
      <c r="C19" s="27">
        <v>2012</v>
      </c>
      <c r="D19" s="27">
        <v>2013</v>
      </c>
      <c r="E19" s="27">
        <v>2014</v>
      </c>
      <c r="F19" s="27">
        <v>2015</v>
      </c>
      <c r="G19" s="27">
        <v>2016</v>
      </c>
      <c r="H19" s="27">
        <v>2017</v>
      </c>
      <c r="I19" s="27">
        <v>2018</v>
      </c>
      <c r="J19" s="27">
        <v>2019</v>
      </c>
      <c r="K19" s="27">
        <v>2020</v>
      </c>
    </row>
    <row r="20" spans="1:11" x14ac:dyDescent="0.3">
      <c r="A20" t="s">
        <v>106</v>
      </c>
      <c r="B20" s="16">
        <f>B15+'10'!B18</f>
        <v>513.75216363636355</v>
      </c>
      <c r="C20" s="16">
        <f>C15+'10'!C18</f>
        <v>646.63513963636365</v>
      </c>
      <c r="D20" s="16">
        <f>D15+'10'!D18</f>
        <v>802.09417035636363</v>
      </c>
      <c r="E20" s="16">
        <f>E15+'10'!E18</f>
        <v>984.82965983476356</v>
      </c>
      <c r="F20" s="16">
        <f>F15+'10'!F18</f>
        <v>1200.5654478784115</v>
      </c>
      <c r="G20" s="16">
        <f>G15+'10'!G18</f>
        <v>1452.6294303924619</v>
      </c>
      <c r="H20" s="16">
        <f>H15+'10'!H18</f>
        <v>1756.8952822628037</v>
      </c>
      <c r="I20" s="16">
        <f>I15+'10'!I18</f>
        <v>2120.8844018899645</v>
      </c>
      <c r="J20" s="16">
        <f>J15+'10'!J18</f>
        <v>2557.3029950011651</v>
      </c>
      <c r="K20" s="16">
        <f>K15+'10'!K18</f>
        <v>3081.6266577928586</v>
      </c>
    </row>
    <row r="21" spans="1:11" x14ac:dyDescent="0.3">
      <c r="A21" t="s">
        <v>18</v>
      </c>
      <c r="B21" s="16">
        <f>B16+'12'!B11</f>
        <v>95.438549999999992</v>
      </c>
      <c r="C21" s="16">
        <f>C16+'12'!C11</f>
        <v>130.06258300000002</v>
      </c>
      <c r="D21" s="16">
        <f>D16+'12'!D11</f>
        <v>160.96271293000001</v>
      </c>
      <c r="E21" s="16">
        <f>E16+'12'!E11</f>
        <v>196.7169121453</v>
      </c>
      <c r="F21" s="16">
        <f>F16+'12'!F11</f>
        <v>250.02672204381298</v>
      </c>
      <c r="G21" s="16">
        <f>G16+'12'!G11</f>
        <v>299.61906397733372</v>
      </c>
      <c r="H21" s="16">
        <f>H16+'12'!H11</f>
        <v>358.76902255401382</v>
      </c>
      <c r="I21" s="16">
        <f>I16+'12'!I11</f>
        <v>446.68502266060943</v>
      </c>
      <c r="J21" s="16">
        <f>J16+'12'!J11</f>
        <v>531.21345421569845</v>
      </c>
      <c r="K21" s="16">
        <f>K16+'12'!K11</f>
        <v>630.83274019605278</v>
      </c>
    </row>
    <row r="22" spans="1:11" x14ac:dyDescent="0.3">
      <c r="B22" s="16"/>
      <c r="C22" s="16"/>
      <c r="D22" s="16"/>
      <c r="E22" s="16"/>
      <c r="F22" s="16"/>
      <c r="G22" s="16"/>
      <c r="H22" s="16"/>
      <c r="I22" s="16"/>
      <c r="J22" s="16"/>
      <c r="K22" s="16"/>
    </row>
    <row r="23" spans="1:11" x14ac:dyDescent="0.3">
      <c r="A23" s="1" t="s">
        <v>377</v>
      </c>
      <c r="B23" s="16">
        <f>B21-B16</f>
        <v>11.681249999999991</v>
      </c>
      <c r="C23" s="16">
        <f t="shared" ref="C23:K23" si="2">C21-C16</f>
        <v>28.716250000000016</v>
      </c>
      <c r="D23" s="16">
        <f t="shared" si="2"/>
        <v>38.333650000000006</v>
      </c>
      <c r="E23" s="16">
        <f t="shared" si="2"/>
        <v>48.335746</v>
      </c>
      <c r="F23" s="16">
        <f t="shared" si="2"/>
        <v>70.485511007999975</v>
      </c>
      <c r="G23" s="16">
        <f t="shared" si="2"/>
        <v>82.374198624000002</v>
      </c>
      <c r="H23" s="16">
        <f t="shared" si="2"/>
        <v>95.902735476480018</v>
      </c>
      <c r="I23" s="16">
        <f t="shared" si="2"/>
        <v>128.61681529679356</v>
      </c>
      <c r="J23" s="16">
        <f t="shared" si="2"/>
        <v>146.35092330548127</v>
      </c>
      <c r="K23" s="16">
        <f t="shared" si="2"/>
        <v>165.14907779469002</v>
      </c>
    </row>
    <row r="25" spans="1:11" x14ac:dyDescent="0.3">
      <c r="A25" s="3" t="s">
        <v>48</v>
      </c>
      <c r="B25" s="5">
        <f>'10'!B18/'14'!B20</f>
        <v>0.15158087013940116</v>
      </c>
      <c r="C25" s="5">
        <f>'10'!C18/'14'!C20</f>
        <v>0.17763494892126419</v>
      </c>
      <c r="D25" s="5">
        <f>'10'!D18/'14'!D20</f>
        <v>0.1911678275031905</v>
      </c>
      <c r="E25" s="5">
        <f>'10'!E18/'14'!E20</f>
        <v>0.19632124405396098</v>
      </c>
      <c r="F25" s="5">
        <f>'10'!F18/'14'!F20</f>
        <v>0.19570087059826408</v>
      </c>
      <c r="G25" s="5">
        <f>'10'!G18/'14'!G20</f>
        <v>0.18902319912781584</v>
      </c>
      <c r="H25" s="5">
        <f>'10'!H18/'14'!H20</f>
        <v>0.18195494526564596</v>
      </c>
      <c r="I25" s="5">
        <f>'10'!I18/'14'!I20</f>
        <v>0.17326574461400626</v>
      </c>
      <c r="J25" s="5">
        <f>'10'!J18/'14'!J20</f>
        <v>0.16351034506895706</v>
      </c>
      <c r="K25" s="5">
        <f>'10'!K18/'14'!K20</f>
        <v>0.15311864816316959</v>
      </c>
    </row>
    <row r="26" spans="1:11" x14ac:dyDescent="0.3">
      <c r="A26" s="3" t="s">
        <v>49</v>
      </c>
      <c r="B26" s="5">
        <f>'12'!B11/'14'!B21</f>
        <v>0.12239550999045982</v>
      </c>
      <c r="C26" s="5">
        <f>'12'!C11/'14'!C21</f>
        <v>0.22078794175570077</v>
      </c>
      <c r="D26" s="5">
        <f>'12'!D11/'14'!D21</f>
        <v>0.23815236027160319</v>
      </c>
      <c r="E26" s="5">
        <f>'12'!E11/'14'!E21</f>
        <v>0.24571220375957314</v>
      </c>
      <c r="F26" s="5">
        <f>'12'!F11/'14'!F21</f>
        <v>0.28191191098225327</v>
      </c>
      <c r="G26" s="5">
        <f>'12'!G11/'14'!G21</f>
        <v>0.27492976424968618</v>
      </c>
      <c r="H26" s="5">
        <f>'12'!H11/'14'!H21</f>
        <v>0.26731052417448209</v>
      </c>
      <c r="I26" s="5">
        <f>'12'!I11/'14'!I21</f>
        <v>0.28793626106088727</v>
      </c>
      <c r="J26" s="5">
        <f>'12'!J11/'14'!J21</f>
        <v>0.27550304335111142</v>
      </c>
      <c r="K26" s="5">
        <f>'12'!K11/'14'!K21</f>
        <v>0.26179534965696988</v>
      </c>
    </row>
    <row r="28" spans="1:11" s="20" customFormat="1" x14ac:dyDescent="0.3">
      <c r="A28" s="20" t="s">
        <v>277</v>
      </c>
      <c r="J28" s="331"/>
    </row>
    <row r="29" spans="1:11" x14ac:dyDescent="0.3">
      <c r="A29" s="20" t="s">
        <v>298</v>
      </c>
    </row>
  </sheetData>
  <mergeCells count="1">
    <mergeCell ref="B8:E8"/>
  </mergeCells>
  <hyperlinks>
    <hyperlink ref="B1" location="Index!A1" display="Back to Index"/>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8"/>
  <sheetViews>
    <sheetView topLeftCell="A10" zoomScale="120" zoomScaleNormal="120" workbookViewId="0">
      <selection activeCell="E6" sqref="E6"/>
    </sheetView>
  </sheetViews>
  <sheetFormatPr defaultRowHeight="14.4" x14ac:dyDescent="0.3"/>
  <cols>
    <col min="1" max="1" width="48" customWidth="1"/>
    <col min="2" max="6" width="11.109375" customWidth="1"/>
  </cols>
  <sheetData>
    <row r="1" spans="1:11" x14ac:dyDescent="0.3">
      <c r="A1" s="1" t="s">
        <v>130</v>
      </c>
      <c r="B1" s="56" t="s">
        <v>59</v>
      </c>
    </row>
    <row r="3" spans="1:11" x14ac:dyDescent="0.3">
      <c r="A3" s="1" t="s">
        <v>324</v>
      </c>
      <c r="B3" s="380" t="s">
        <v>67</v>
      </c>
      <c r="C3" s="381"/>
      <c r="D3" s="381"/>
      <c r="E3" s="382"/>
      <c r="I3" s="38"/>
    </row>
    <row r="4" spans="1:11" x14ac:dyDescent="0.3">
      <c r="B4" s="171" t="s">
        <v>63</v>
      </c>
      <c r="C4" s="172" t="s">
        <v>64</v>
      </c>
      <c r="D4" s="173" t="s">
        <v>65</v>
      </c>
      <c r="E4" s="65" t="s">
        <v>66</v>
      </c>
    </row>
    <row r="5" spans="1:11" x14ac:dyDescent="0.3">
      <c r="A5" t="s">
        <v>22</v>
      </c>
      <c r="B5" s="198">
        <v>0.4</v>
      </c>
      <c r="C5" s="333">
        <v>0.3</v>
      </c>
      <c r="D5" s="334">
        <v>0.2</v>
      </c>
      <c r="E5" s="335">
        <v>0.3</v>
      </c>
    </row>
    <row r="6" spans="1:11" x14ac:dyDescent="0.3">
      <c r="A6" t="s">
        <v>129</v>
      </c>
      <c r="B6" s="112">
        <v>1.4999999999999999E-2</v>
      </c>
      <c r="C6" s="114">
        <v>0.01</v>
      </c>
      <c r="D6" s="110">
        <v>5.0000000000000001E-3</v>
      </c>
      <c r="E6" s="354">
        <v>0.01</v>
      </c>
    </row>
    <row r="7" spans="1:11" x14ac:dyDescent="0.3">
      <c r="A7" t="s">
        <v>278</v>
      </c>
      <c r="B7" s="112">
        <v>0.35</v>
      </c>
      <c r="C7" s="114">
        <v>0.26</v>
      </c>
      <c r="D7" s="110">
        <v>5.0000000000000001E-3</v>
      </c>
      <c r="E7" s="354">
        <v>0.26</v>
      </c>
    </row>
    <row r="8" spans="1:11" x14ac:dyDescent="0.3">
      <c r="A8" t="s">
        <v>279</v>
      </c>
      <c r="B8" s="113">
        <v>0.06</v>
      </c>
      <c r="C8" s="153">
        <v>0.05</v>
      </c>
      <c r="D8" s="332">
        <v>0.04</v>
      </c>
      <c r="E8" s="355">
        <v>0.05</v>
      </c>
    </row>
    <row r="10" spans="1:11" x14ac:dyDescent="0.3">
      <c r="A10" s="1" t="s">
        <v>23</v>
      </c>
      <c r="B10" s="2"/>
      <c r="C10" s="2"/>
      <c r="D10" s="2"/>
      <c r="E10" s="2"/>
      <c r="F10" s="2"/>
      <c r="G10" s="2"/>
      <c r="H10" s="2"/>
      <c r="I10" s="2"/>
      <c r="J10" s="2"/>
      <c r="K10" s="2"/>
    </row>
    <row r="11" spans="1:11" x14ac:dyDescent="0.3">
      <c r="A11" s="20" t="s">
        <v>288</v>
      </c>
      <c r="B11" s="29">
        <v>2011</v>
      </c>
      <c r="C11" s="29">
        <v>2012</v>
      </c>
      <c r="D11" s="29">
        <v>2013</v>
      </c>
      <c r="E11" s="29">
        <v>2014</v>
      </c>
      <c r="F11" s="29">
        <v>2015</v>
      </c>
      <c r="G11" s="29">
        <v>2016</v>
      </c>
      <c r="H11" s="29">
        <v>2017</v>
      </c>
      <c r="I11" s="29">
        <v>2018</v>
      </c>
      <c r="J11" s="29">
        <v>2019</v>
      </c>
      <c r="K11" s="29">
        <v>2020</v>
      </c>
    </row>
    <row r="12" spans="1:11" x14ac:dyDescent="0.3">
      <c r="A12" t="s">
        <v>0</v>
      </c>
      <c r="B12" s="19">
        <f>'10'!B18</f>
        <v>77.875</v>
      </c>
      <c r="C12" s="19">
        <f>'10'!C18</f>
        <v>114.86499999999999</v>
      </c>
      <c r="D12" s="19">
        <f>'10'!D18</f>
        <v>153.33460000000002</v>
      </c>
      <c r="E12" s="19">
        <f>'10'!E18</f>
        <v>193.342984</v>
      </c>
      <c r="F12" s="19">
        <f>'10'!F18</f>
        <v>234.95170335999995</v>
      </c>
      <c r="G12" s="19">
        <f>'10'!G18</f>
        <v>274.58066208000002</v>
      </c>
      <c r="H12" s="19">
        <f>'10'!H18</f>
        <v>319.67578492160004</v>
      </c>
      <c r="I12" s="19">
        <f>'10'!I18</f>
        <v>367.47661513369599</v>
      </c>
      <c r="J12" s="19">
        <f>'10'!J18</f>
        <v>418.14549515851786</v>
      </c>
      <c r="K12" s="19">
        <f>'10'!K18</f>
        <v>471.85450798482896</v>
      </c>
    </row>
    <row r="13" spans="1:11" x14ac:dyDescent="0.3">
      <c r="A13" s="26" t="s">
        <v>21</v>
      </c>
      <c r="B13" s="24">
        <f t="shared" ref="B13:K13" si="0">B12-B14</f>
        <v>66.193749999999994</v>
      </c>
      <c r="C13" s="24">
        <f t="shared" si="0"/>
        <v>86.148749999999993</v>
      </c>
      <c r="D13" s="24">
        <f t="shared" si="0"/>
        <v>115.00095000000002</v>
      </c>
      <c r="E13" s="24">
        <f t="shared" si="0"/>
        <v>145.007238</v>
      </c>
      <c r="F13" s="24">
        <f t="shared" si="0"/>
        <v>164.46619235199995</v>
      </c>
      <c r="G13" s="24">
        <f t="shared" si="0"/>
        <v>192.20646345600002</v>
      </c>
      <c r="H13" s="24">
        <f t="shared" si="0"/>
        <v>223.77304944512002</v>
      </c>
      <c r="I13" s="24">
        <f t="shared" si="0"/>
        <v>238.8597998369024</v>
      </c>
      <c r="J13" s="24">
        <f t="shared" si="0"/>
        <v>271.79457185303664</v>
      </c>
      <c r="K13" s="24">
        <f t="shared" si="0"/>
        <v>306.70543019013888</v>
      </c>
    </row>
    <row r="14" spans="1:11" x14ac:dyDescent="0.3">
      <c r="A14" t="s">
        <v>20</v>
      </c>
      <c r="B14" s="19">
        <f>'12'!B11</f>
        <v>11.681249999999999</v>
      </c>
      <c r="C14" s="19">
        <f>'12'!C11</f>
        <v>28.716250000000002</v>
      </c>
      <c r="D14" s="19">
        <f>'12'!D11</f>
        <v>38.333650000000006</v>
      </c>
      <c r="E14" s="19">
        <f>'12'!E11</f>
        <v>48.335746</v>
      </c>
      <c r="F14" s="19">
        <f>'12'!F11</f>
        <v>70.485511007999989</v>
      </c>
      <c r="G14" s="19">
        <f>'12'!G11</f>
        <v>82.374198624000002</v>
      </c>
      <c r="H14" s="19">
        <f>'12'!H11</f>
        <v>95.902735476480018</v>
      </c>
      <c r="I14" s="19">
        <f>'12'!I11</f>
        <v>128.61681529679359</v>
      </c>
      <c r="J14" s="19">
        <f>'12'!J11</f>
        <v>146.35092330548122</v>
      </c>
      <c r="K14" s="19">
        <f>'12'!K11</f>
        <v>165.14907779469007</v>
      </c>
    </row>
    <row r="15" spans="1:11" x14ac:dyDescent="0.3">
      <c r="A15" s="3" t="s">
        <v>299</v>
      </c>
      <c r="B15" s="16">
        <f t="shared" ref="B15:K15" si="1">B14*$E7</f>
        <v>3.0371249999999996</v>
      </c>
      <c r="C15" s="16">
        <f t="shared" si="1"/>
        <v>7.4662250000000006</v>
      </c>
      <c r="D15" s="16">
        <f t="shared" si="1"/>
        <v>9.9667490000000019</v>
      </c>
      <c r="E15" s="16">
        <f t="shared" si="1"/>
        <v>12.567293960000001</v>
      </c>
      <c r="F15" s="16">
        <f t="shared" si="1"/>
        <v>18.326232862079998</v>
      </c>
      <c r="G15" s="16">
        <f t="shared" si="1"/>
        <v>21.417291642240002</v>
      </c>
      <c r="H15" s="16">
        <f t="shared" si="1"/>
        <v>24.934711223884804</v>
      </c>
      <c r="I15" s="16">
        <f t="shared" si="1"/>
        <v>33.440371977166336</v>
      </c>
      <c r="J15" s="16">
        <f t="shared" si="1"/>
        <v>38.051240059425119</v>
      </c>
      <c r="K15" s="16">
        <f t="shared" si="1"/>
        <v>42.938760226619422</v>
      </c>
    </row>
    <row r="16" spans="1:11" x14ac:dyDescent="0.3">
      <c r="A16" s="26" t="s">
        <v>300</v>
      </c>
      <c r="B16" s="25">
        <f t="shared" ref="B16:K16" si="2">B12*$E8</f>
        <v>3.8937500000000003</v>
      </c>
      <c r="C16" s="25">
        <f t="shared" si="2"/>
        <v>5.7432499999999997</v>
      </c>
      <c r="D16" s="25">
        <f t="shared" si="2"/>
        <v>7.6667300000000012</v>
      </c>
      <c r="E16" s="25">
        <f t="shared" si="2"/>
        <v>9.6671492000000008</v>
      </c>
      <c r="F16" s="25">
        <f t="shared" si="2"/>
        <v>11.747585167999999</v>
      </c>
      <c r="G16" s="25">
        <f t="shared" si="2"/>
        <v>13.729033104000003</v>
      </c>
      <c r="H16" s="25">
        <f t="shared" si="2"/>
        <v>15.983789246080002</v>
      </c>
      <c r="I16" s="25">
        <f t="shared" si="2"/>
        <v>18.3738307566848</v>
      </c>
      <c r="J16" s="25">
        <f t="shared" si="2"/>
        <v>20.907274757925894</v>
      </c>
      <c r="K16" s="25">
        <f t="shared" si="2"/>
        <v>23.592725399241449</v>
      </c>
    </row>
    <row r="17" spans="1:11" x14ac:dyDescent="0.3">
      <c r="A17" t="s">
        <v>23</v>
      </c>
      <c r="B17" s="16">
        <f t="shared" ref="B17" si="3">B14-B15-B16</f>
        <v>4.7503749999999982</v>
      </c>
      <c r="C17" s="16">
        <f t="shared" ref="C17" si="4">C14-C15-C16</f>
        <v>15.506775000000001</v>
      </c>
      <c r="D17" s="16">
        <f t="shared" ref="D17" si="5">D14-D15-D16</f>
        <v>20.700171000000005</v>
      </c>
      <c r="E17" s="16">
        <f t="shared" ref="E17" si="6">E14-E15-E16</f>
        <v>26.101302839999999</v>
      </c>
      <c r="F17" s="16">
        <f t="shared" ref="F17" si="7">F14-F15-F16</f>
        <v>40.411692977919991</v>
      </c>
      <c r="G17" s="16">
        <f t="shared" ref="G17" si="8">G14-G15-G16</f>
        <v>47.227873877759997</v>
      </c>
      <c r="H17" s="16">
        <f t="shared" ref="H17" si="9">H14-H15-H16</f>
        <v>54.984235006515213</v>
      </c>
      <c r="I17" s="16">
        <f t="shared" ref="I17" si="10">I14-I15-I16</f>
        <v>76.802612562942457</v>
      </c>
      <c r="J17" s="16">
        <f t="shared" ref="J17" si="11">J14-J15-J16</f>
        <v>87.392408488130215</v>
      </c>
      <c r="K17" s="16">
        <f t="shared" ref="K17" si="12">K14-K15-K16</f>
        <v>98.617592168829205</v>
      </c>
    </row>
    <row r="19" spans="1:11" s="20" customFormat="1" x14ac:dyDescent="0.3">
      <c r="A19" s="20" t="s">
        <v>302</v>
      </c>
    </row>
    <row r="20" spans="1:11" x14ac:dyDescent="0.3">
      <c r="A20" s="20" t="s">
        <v>301</v>
      </c>
      <c r="B20" s="56"/>
    </row>
    <row r="21" spans="1:11" s="20" customFormat="1" x14ac:dyDescent="0.3">
      <c r="A21" s="20" t="s">
        <v>304</v>
      </c>
    </row>
    <row r="22" spans="1:11" s="20" customFormat="1" x14ac:dyDescent="0.3">
      <c r="A22" s="20" t="s">
        <v>303</v>
      </c>
    </row>
    <row r="23" spans="1:11" s="20" customFormat="1" x14ac:dyDescent="0.3">
      <c r="A23" s="20" t="s">
        <v>378</v>
      </c>
    </row>
    <row r="26" spans="1:11" hidden="1" x14ac:dyDescent="0.3"/>
    <row r="27" spans="1:11" hidden="1" x14ac:dyDescent="0.3">
      <c r="A27" t="s">
        <v>134</v>
      </c>
      <c r="B27" s="2">
        <v>1</v>
      </c>
      <c r="C27" s="2">
        <v>2</v>
      </c>
      <c r="D27" s="2">
        <v>3</v>
      </c>
      <c r="E27" s="2">
        <v>4</v>
      </c>
      <c r="F27" s="2">
        <v>5</v>
      </c>
      <c r="G27" s="2">
        <v>6</v>
      </c>
      <c r="H27" s="2">
        <v>7</v>
      </c>
      <c r="I27" s="2">
        <v>8</v>
      </c>
      <c r="J27" s="2">
        <v>9</v>
      </c>
      <c r="K27" s="2">
        <v>10</v>
      </c>
    </row>
    <row r="28" spans="1:11" hidden="1" x14ac:dyDescent="0.3"/>
  </sheetData>
  <mergeCells count="1">
    <mergeCell ref="B3:E3"/>
  </mergeCells>
  <hyperlinks>
    <hyperlink ref="B1" location="Index!A1" display="Back to Index"/>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2"/>
  <sheetViews>
    <sheetView topLeftCell="A40" zoomScaleNormal="100" workbookViewId="0"/>
  </sheetViews>
  <sheetFormatPr defaultRowHeight="14.4" x14ac:dyDescent="0.3"/>
  <cols>
    <col min="1" max="1" width="52.109375" customWidth="1"/>
  </cols>
  <sheetData>
    <row r="1" spans="1:11" x14ac:dyDescent="0.3">
      <c r="A1" s="1" t="s">
        <v>153</v>
      </c>
      <c r="B1" s="59" t="s">
        <v>59</v>
      </c>
    </row>
    <row r="2" spans="1:11" s="20" customFormat="1" x14ac:dyDescent="0.3">
      <c r="A2" s="20" t="s">
        <v>356</v>
      </c>
      <c r="B2" s="371"/>
    </row>
    <row r="3" spans="1:11" s="20" customFormat="1" x14ac:dyDescent="0.3">
      <c r="A3" s="20" t="s">
        <v>357</v>
      </c>
      <c r="B3" s="371"/>
    </row>
    <row r="5" spans="1:11" x14ac:dyDescent="0.3">
      <c r="A5" s="1" t="s">
        <v>359</v>
      </c>
    </row>
    <row r="6" spans="1:11" x14ac:dyDescent="0.3">
      <c r="A6" s="20" t="s">
        <v>288</v>
      </c>
      <c r="B6" s="29">
        <v>2011</v>
      </c>
      <c r="C6" s="29">
        <v>2012</v>
      </c>
      <c r="D6" s="29">
        <v>2013</v>
      </c>
      <c r="E6" s="29">
        <v>2014</v>
      </c>
      <c r="F6" s="29">
        <v>2015</v>
      </c>
      <c r="G6" s="29">
        <v>2016</v>
      </c>
      <c r="H6" s="29">
        <v>2017</v>
      </c>
      <c r="I6" s="29">
        <v>2018</v>
      </c>
      <c r="J6" s="29">
        <v>2019</v>
      </c>
      <c r="K6" s="29">
        <v>2020</v>
      </c>
    </row>
    <row r="7" spans="1:11" x14ac:dyDescent="0.3">
      <c r="A7" t="s">
        <v>132</v>
      </c>
      <c r="B7" s="19">
        <f>'15'!B17/((1+'15'!$E5)^'15'!B27)</f>
        <v>3.6541346153846139</v>
      </c>
      <c r="C7" s="19">
        <f>'15'!C17/((1+'15'!$E5)^'15'!C27)</f>
        <v>9.1756065088757399</v>
      </c>
      <c r="D7" s="19">
        <f>'15'!D17/((1+'15'!$E5)^'15'!D27)</f>
        <v>9.422016841147018</v>
      </c>
      <c r="E7" s="19">
        <f>'15'!E17/((1+'15'!$E5)^'15'!E27)</f>
        <v>9.1387916529533264</v>
      </c>
      <c r="F7" s="19">
        <f>'15'!F17/((1+'15'!$E5)^'15'!F27)</f>
        <v>10.884043862372838</v>
      </c>
      <c r="G7" s="19">
        <f>'15'!G17/((1+'15'!$E5)^'15'!G27)</f>
        <v>9.7844919651388693</v>
      </c>
      <c r="H7" s="19">
        <f>'15'!H17/((1+'15'!$E5)^'15'!H27)</f>
        <v>8.7626349809215718</v>
      </c>
      <c r="I7" s="19">
        <f>'15'!I17/((1+'15'!$E5)^'15'!I27)</f>
        <v>9.4151918746900343</v>
      </c>
      <c r="J7" s="19">
        <f>'15'!J17/((1+'15'!$E5)^'15'!J27)</f>
        <v>8.2410687590438307</v>
      </c>
      <c r="K7" s="19">
        <f>'15'!K17/((1+'15'!$E5)^'15'!K27)</f>
        <v>7.1535377216259981</v>
      </c>
    </row>
    <row r="8" spans="1:11" x14ac:dyDescent="0.3">
      <c r="A8" t="s">
        <v>362</v>
      </c>
      <c r="B8" s="16">
        <f>SUM(B7:K7)</f>
        <v>85.631518782153833</v>
      </c>
      <c r="C8" s="16"/>
      <c r="D8" s="16"/>
      <c r="E8" s="16"/>
      <c r="F8" s="16"/>
    </row>
    <row r="9" spans="1:11" x14ac:dyDescent="0.3">
      <c r="A9" s="23" t="s">
        <v>355</v>
      </c>
      <c r="B9" s="367">
        <f>('15'!K17*(1+'15'!$E6)/('15'!$E5-'15'!$E6))</f>
        <v>343.46126927764652</v>
      </c>
      <c r="C9" s="16"/>
      <c r="D9" s="16"/>
      <c r="E9" s="16"/>
      <c r="F9" s="16"/>
    </row>
    <row r="10" spans="1:11" x14ac:dyDescent="0.3">
      <c r="A10" t="s">
        <v>133</v>
      </c>
      <c r="B10" s="368">
        <f>B8+B9</f>
        <v>429.09278805980034</v>
      </c>
      <c r="C10" s="16"/>
      <c r="D10" s="16"/>
      <c r="E10" s="16"/>
      <c r="F10" s="16"/>
    </row>
    <row r="11" spans="1:11" x14ac:dyDescent="0.3">
      <c r="A11" t="s">
        <v>305</v>
      </c>
      <c r="B11" s="5">
        <f>B9/B10</f>
        <v>0.80043589366918044</v>
      </c>
      <c r="C11" s="16"/>
      <c r="D11" s="16"/>
      <c r="E11" s="16"/>
      <c r="F11" s="16"/>
    </row>
    <row r="13" spans="1:11" x14ac:dyDescent="0.3">
      <c r="A13" s="1" t="s">
        <v>360</v>
      </c>
    </row>
    <row r="14" spans="1:11" x14ac:dyDescent="0.3">
      <c r="A14" s="20" t="s">
        <v>288</v>
      </c>
      <c r="B14" s="29">
        <v>2011</v>
      </c>
      <c r="C14" s="29">
        <v>2012</v>
      </c>
      <c r="D14" s="29">
        <v>2013</v>
      </c>
      <c r="E14" s="29">
        <v>2014</v>
      </c>
      <c r="F14" s="29">
        <v>2015</v>
      </c>
    </row>
    <row r="15" spans="1:11" x14ac:dyDescent="0.3">
      <c r="A15" t="s">
        <v>132</v>
      </c>
      <c r="B15" s="19">
        <f>B7</f>
        <v>3.6541346153846139</v>
      </c>
      <c r="C15" s="19">
        <f t="shared" ref="C15:F15" si="0">C7</f>
        <v>9.1756065088757399</v>
      </c>
      <c r="D15" s="19">
        <f t="shared" si="0"/>
        <v>9.422016841147018</v>
      </c>
      <c r="E15" s="19">
        <f t="shared" si="0"/>
        <v>9.1387916529533264</v>
      </c>
      <c r="F15" s="19">
        <f t="shared" si="0"/>
        <v>10.884043862372838</v>
      </c>
    </row>
    <row r="16" spans="1:11" x14ac:dyDescent="0.3">
      <c r="A16" t="s">
        <v>362</v>
      </c>
      <c r="B16" s="16">
        <f>SUM(B15:F15)</f>
        <v>42.274593480733536</v>
      </c>
      <c r="C16" s="16"/>
      <c r="D16" s="16"/>
      <c r="E16" s="16"/>
      <c r="F16" s="16"/>
    </row>
    <row r="17" spans="1:11" x14ac:dyDescent="0.3">
      <c r="A17" s="23" t="s">
        <v>355</v>
      </c>
      <c r="B17" s="367">
        <f>('15'!F17*(1+'15'!$E$6)/('15'!$E$5-'15'!$E$6))</f>
        <v>140.74417209551447</v>
      </c>
      <c r="C17" s="16"/>
      <c r="D17" s="16"/>
      <c r="E17" s="16"/>
      <c r="F17" s="16"/>
    </row>
    <row r="18" spans="1:11" x14ac:dyDescent="0.3">
      <c r="A18" t="s">
        <v>133</v>
      </c>
      <c r="B18" s="368">
        <f>B16+B17</f>
        <v>183.018765576248</v>
      </c>
      <c r="C18" s="16"/>
      <c r="D18" s="16"/>
      <c r="E18" s="5"/>
      <c r="F18" s="16"/>
    </row>
    <row r="19" spans="1:11" x14ac:dyDescent="0.3">
      <c r="A19" t="s">
        <v>305</v>
      </c>
      <c r="B19" s="5">
        <f>B17/B18</f>
        <v>0.7690149786136472</v>
      </c>
      <c r="C19" s="16"/>
      <c r="D19" s="16"/>
      <c r="E19" s="16"/>
      <c r="F19" s="16"/>
    </row>
    <row r="21" spans="1:11" x14ac:dyDescent="0.3">
      <c r="A21" s="1" t="s">
        <v>364</v>
      </c>
    </row>
    <row r="22" spans="1:11" x14ac:dyDescent="0.3">
      <c r="A22" s="20" t="s">
        <v>288</v>
      </c>
      <c r="B22" s="29">
        <v>2011</v>
      </c>
      <c r="C22" s="29">
        <v>2012</v>
      </c>
      <c r="D22" s="29">
        <v>2013</v>
      </c>
      <c r="E22" s="29">
        <v>2014</v>
      </c>
      <c r="F22" s="29">
        <v>2015</v>
      </c>
      <c r="G22" s="29">
        <v>2016</v>
      </c>
      <c r="H22" s="29">
        <v>2017</v>
      </c>
      <c r="I22" s="29">
        <v>2018</v>
      </c>
      <c r="J22" s="29">
        <v>2019</v>
      </c>
      <c r="K22" s="29">
        <v>2020</v>
      </c>
    </row>
    <row r="23" spans="1:11" x14ac:dyDescent="0.3">
      <c r="A23" t="s">
        <v>132</v>
      </c>
      <c r="B23">
        <v>0</v>
      </c>
      <c r="C23">
        <v>0</v>
      </c>
      <c r="D23">
        <v>0</v>
      </c>
      <c r="E23">
        <v>0</v>
      </c>
      <c r="F23">
        <v>0</v>
      </c>
      <c r="G23" s="16">
        <f>'15'!B17/((1+'15'!$E5)^'15'!F27)</f>
        <v>1.2794141015316736</v>
      </c>
      <c r="H23" s="16">
        <f>'15'!C17/((1+'15'!$E5)^'15'!G27)</f>
        <v>3.2126348898413002</v>
      </c>
      <c r="I23" s="16">
        <f>'15'!D17/((1+'15'!$E5)^'15'!H27)</f>
        <v>3.2989099965501967</v>
      </c>
      <c r="J23" s="16">
        <f>'15'!E17/((1+'15'!$E5)^'15'!I27)</f>
        <v>3.199744985453354</v>
      </c>
      <c r="K23" s="16">
        <f>'15'!F17/((1+'15'!$E5)^'15'!J27)</f>
        <v>3.8108062961285802</v>
      </c>
    </row>
    <row r="24" spans="1:11" x14ac:dyDescent="0.3">
      <c r="A24" t="s">
        <v>362</v>
      </c>
      <c r="B24" s="16">
        <f>SUM(B23:K23)</f>
        <v>14.801510269505105</v>
      </c>
    </row>
    <row r="25" spans="1:11" x14ac:dyDescent="0.3">
      <c r="A25" s="23" t="s">
        <v>355</v>
      </c>
      <c r="B25" s="367">
        <f>(K23*(1+'15'!$E$6)/('15'!$E$5-'15'!$E$6))</f>
        <v>13.272118479620229</v>
      </c>
    </row>
    <row r="26" spans="1:11" x14ac:dyDescent="0.3">
      <c r="A26" t="s">
        <v>133</v>
      </c>
      <c r="B26" s="368">
        <f>B24+B25</f>
        <v>28.073628749125334</v>
      </c>
    </row>
    <row r="27" spans="1:11" x14ac:dyDescent="0.3">
      <c r="A27" t="s">
        <v>305</v>
      </c>
      <c r="B27" s="5">
        <f>B25/B26</f>
        <v>0.47276105979116567</v>
      </c>
    </row>
    <row r="29" spans="1:11" x14ac:dyDescent="0.3">
      <c r="A29" s="1" t="s">
        <v>339</v>
      </c>
      <c r="B29" s="13" t="s">
        <v>335</v>
      </c>
      <c r="C29" s="13" t="s">
        <v>336</v>
      </c>
      <c r="D29" s="13" t="s">
        <v>337</v>
      </c>
    </row>
    <row r="30" spans="1:11" x14ac:dyDescent="0.3">
      <c r="A30" t="s">
        <v>338</v>
      </c>
      <c r="B30" s="5">
        <f>'16'!B10/'17'!E17</f>
        <v>0.88750386281691063</v>
      </c>
      <c r="C30" s="5">
        <f>'16'!B18/'17'!E17</f>
        <v>0.37854251093650582</v>
      </c>
      <c r="D30" s="5">
        <f>'16'!B26/'17'!E17</f>
        <v>5.8065422331601335E-2</v>
      </c>
    </row>
    <row r="31" spans="1:11" x14ac:dyDescent="0.3">
      <c r="A31" t="s">
        <v>332</v>
      </c>
      <c r="B31" s="5">
        <f>'16'!B10/'17'!$B58</f>
        <v>0.51465682447856376</v>
      </c>
      <c r="C31" s="5">
        <f>'16'!B18/'17'!$B58</f>
        <v>0.21951395906083482</v>
      </c>
      <c r="D31" s="5">
        <f>'16'!B26/'17'!$B58</f>
        <v>3.3671702311625383E-2</v>
      </c>
    </row>
    <row r="32" spans="1:11" x14ac:dyDescent="0.3">
      <c r="A32" t="s">
        <v>368</v>
      </c>
      <c r="B32" s="225">
        <f>'16'!B10/'19'!$C$26</f>
        <v>2.5240752238811783</v>
      </c>
      <c r="C32" s="225">
        <f>'16'!B18/'19'!$C$26</f>
        <v>1.0765809739779295</v>
      </c>
      <c r="D32" s="225">
        <f>'16'!B26/'19'!$C$26</f>
        <v>0.16513899264191373</v>
      </c>
    </row>
  </sheetData>
  <hyperlinks>
    <hyperlink ref="B1" location="Index!A1" display="Back to Index"/>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12:AA33"/>
  <sheetViews>
    <sheetView topLeftCell="A19" zoomScale="70" zoomScaleNormal="70" workbookViewId="0">
      <selection activeCell="V35" sqref="V35"/>
    </sheetView>
  </sheetViews>
  <sheetFormatPr defaultRowHeight="14.4" x14ac:dyDescent="0.3"/>
  <cols>
    <col min="24" max="24" width="4" customWidth="1"/>
    <col min="25" max="25" width="5.5546875" customWidth="1"/>
    <col min="26" max="26" width="5.6640625" style="141" customWidth="1"/>
    <col min="27" max="27" width="5" bestFit="1" customWidth="1"/>
  </cols>
  <sheetData>
    <row r="12" spans="26:27" x14ac:dyDescent="0.3">
      <c r="Z12" s="141" t="s">
        <v>68</v>
      </c>
      <c r="AA12" s="219">
        <v>0.2</v>
      </c>
    </row>
    <row r="13" spans="26:27" x14ac:dyDescent="0.3">
      <c r="Z13" s="141" t="s">
        <v>354</v>
      </c>
      <c r="AA13" s="219">
        <v>0.15</v>
      </c>
    </row>
    <row r="30" spans="18:18" x14ac:dyDescent="0.3">
      <c r="R30" s="141"/>
    </row>
    <row r="33" spans="18:18" x14ac:dyDescent="0.3">
      <c r="R33" s="141"/>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61"/>
  <sheetViews>
    <sheetView topLeftCell="A34" zoomScale="90" zoomScaleNormal="90" workbookViewId="0">
      <selection activeCell="M22" sqref="M22"/>
    </sheetView>
  </sheetViews>
  <sheetFormatPr defaultRowHeight="14.4" x14ac:dyDescent="0.3"/>
  <cols>
    <col min="1" max="1" width="35.5546875" customWidth="1"/>
    <col min="2" max="5" width="10.5546875" customWidth="1"/>
    <col min="6" max="6" width="1.88671875" style="26" customWidth="1"/>
    <col min="7" max="10" width="10.5546875" customWidth="1"/>
  </cols>
  <sheetData>
    <row r="1" spans="1:10" x14ac:dyDescent="0.3">
      <c r="A1" s="237" t="s">
        <v>225</v>
      </c>
      <c r="B1" s="59" t="s">
        <v>59</v>
      </c>
    </row>
    <row r="3" spans="1:10" x14ac:dyDescent="0.3">
      <c r="A3" s="1" t="s">
        <v>224</v>
      </c>
    </row>
    <row r="4" spans="1:10" x14ac:dyDescent="0.3">
      <c r="B4" s="391" t="s">
        <v>297</v>
      </c>
      <c r="C4" s="392"/>
      <c r="D4" s="392"/>
      <c r="E4" s="393"/>
      <c r="F4" s="224"/>
      <c r="G4" s="391" t="s">
        <v>295</v>
      </c>
      <c r="H4" s="392"/>
      <c r="I4" s="392"/>
      <c r="J4" s="393"/>
    </row>
    <row r="5" spans="1:10" x14ac:dyDescent="0.3">
      <c r="A5" s="1" t="s">
        <v>178</v>
      </c>
      <c r="B5" s="27" t="s">
        <v>34</v>
      </c>
      <c r="C5" s="27" t="s">
        <v>35</v>
      </c>
      <c r="D5" s="27" t="s">
        <v>36</v>
      </c>
      <c r="E5" s="27" t="s">
        <v>37</v>
      </c>
      <c r="F5" s="256"/>
      <c r="G5" s="27" t="s">
        <v>34</v>
      </c>
      <c r="H5" s="27" t="s">
        <v>35</v>
      </c>
      <c r="I5" s="27" t="s">
        <v>36</v>
      </c>
      <c r="J5" s="27" t="s">
        <v>37</v>
      </c>
    </row>
    <row r="6" spans="1:10" x14ac:dyDescent="0.3">
      <c r="A6" t="s">
        <v>169</v>
      </c>
      <c r="B6" s="246">
        <f t="shared" ref="B6:E9" si="0">(G6/1.1)/1000</f>
        <v>11.725454545454545</v>
      </c>
      <c r="C6" s="247">
        <f t="shared" si="0"/>
        <v>10.427272727272726</v>
      </c>
      <c r="D6" s="247">
        <f t="shared" si="0"/>
        <v>18.285454545454545</v>
      </c>
      <c r="E6" s="248">
        <f t="shared" si="0"/>
        <v>30.448181818181816</v>
      </c>
      <c r="F6" s="24"/>
      <c r="G6" s="257">
        <v>12898</v>
      </c>
      <c r="H6" s="245">
        <v>11470</v>
      </c>
      <c r="I6" s="245">
        <v>20114</v>
      </c>
      <c r="J6" s="258">
        <v>33493</v>
      </c>
    </row>
    <row r="7" spans="1:10" x14ac:dyDescent="0.3">
      <c r="A7" t="s">
        <v>170</v>
      </c>
      <c r="B7" s="249">
        <f t="shared" si="0"/>
        <v>43.840909090909086</v>
      </c>
      <c r="C7" s="244">
        <f t="shared" si="0"/>
        <v>50.176363636363632</v>
      </c>
      <c r="D7" s="244">
        <f t="shared" si="0"/>
        <v>74.312727272727258</v>
      </c>
      <c r="E7" s="250">
        <f t="shared" si="0"/>
        <v>78.05</v>
      </c>
      <c r="F7" s="24"/>
      <c r="G7" s="257">
        <v>48225</v>
      </c>
      <c r="H7" s="245">
        <v>55194</v>
      </c>
      <c r="I7" s="245">
        <v>81744</v>
      </c>
      <c r="J7" s="258">
        <v>85855</v>
      </c>
    </row>
    <row r="8" spans="1:10" x14ac:dyDescent="0.3">
      <c r="A8" s="6" t="s">
        <v>171</v>
      </c>
      <c r="B8" s="251">
        <f t="shared" si="0"/>
        <v>0.57909090909090899</v>
      </c>
      <c r="C8" s="226">
        <f t="shared" si="0"/>
        <v>0.80272727272727262</v>
      </c>
      <c r="D8" s="226">
        <f t="shared" si="0"/>
        <v>0.69727272727272727</v>
      </c>
      <c r="E8" s="252">
        <f t="shared" si="0"/>
        <v>0.7318181818181817</v>
      </c>
      <c r="F8" s="245"/>
      <c r="G8" s="259">
        <v>637</v>
      </c>
      <c r="H8" s="52">
        <v>883</v>
      </c>
      <c r="I8" s="52">
        <v>767</v>
      </c>
      <c r="J8" s="260">
        <v>805</v>
      </c>
    </row>
    <row r="9" spans="1:10" x14ac:dyDescent="0.3">
      <c r="A9" t="s">
        <v>177</v>
      </c>
      <c r="B9" s="249">
        <f t="shared" si="0"/>
        <v>57.963636363636361</v>
      </c>
      <c r="C9" s="244">
        <f t="shared" si="0"/>
        <v>61.406363636363629</v>
      </c>
      <c r="D9" s="244">
        <f t="shared" si="0"/>
        <v>93.295454545454547</v>
      </c>
      <c r="E9" s="250">
        <f t="shared" si="0"/>
        <v>109.22999999999999</v>
      </c>
      <c r="F9" s="287"/>
      <c r="G9" s="257">
        <v>63760</v>
      </c>
      <c r="H9" s="245">
        <v>67547</v>
      </c>
      <c r="I9" s="245">
        <f>SUM(I6:I8)</f>
        <v>102625</v>
      </c>
      <c r="J9" s="258">
        <f>SUM(J6:J8)</f>
        <v>120153</v>
      </c>
    </row>
    <row r="10" spans="1:10" x14ac:dyDescent="0.3">
      <c r="B10" s="249"/>
      <c r="C10" s="244"/>
      <c r="D10" s="244"/>
      <c r="E10" s="250"/>
      <c r="F10" s="14"/>
      <c r="G10" s="257"/>
      <c r="H10" s="245"/>
      <c r="I10" s="245"/>
      <c r="J10" s="258"/>
    </row>
    <row r="11" spans="1:10" x14ac:dyDescent="0.3">
      <c r="A11" t="s">
        <v>172</v>
      </c>
      <c r="B11" s="249"/>
      <c r="C11" s="244"/>
      <c r="D11" s="244"/>
      <c r="E11" s="250"/>
      <c r="F11" s="14"/>
      <c r="G11" s="257"/>
      <c r="H11" s="245"/>
      <c r="I11" s="245"/>
      <c r="J11" s="258"/>
    </row>
    <row r="12" spans="1:10" x14ac:dyDescent="0.3">
      <c r="A12" t="s">
        <v>173</v>
      </c>
      <c r="B12" s="249">
        <f t="shared" ref="B12:E17" si="1">(G12/1.1)/1000</f>
        <v>1.6754545454545453</v>
      </c>
      <c r="C12" s="244">
        <f t="shared" si="1"/>
        <v>0</v>
      </c>
      <c r="D12" s="244">
        <f t="shared" si="1"/>
        <v>1.7027272727272724</v>
      </c>
      <c r="E12" s="250">
        <f t="shared" si="1"/>
        <v>0.61363636363636365</v>
      </c>
      <c r="F12" s="14"/>
      <c r="G12" s="257">
        <v>1843</v>
      </c>
      <c r="H12" s="245">
        <v>0</v>
      </c>
      <c r="I12" s="245">
        <v>1873</v>
      </c>
      <c r="J12" s="258">
        <v>675</v>
      </c>
    </row>
    <row r="13" spans="1:10" x14ac:dyDescent="0.3">
      <c r="A13" t="s">
        <v>174</v>
      </c>
      <c r="B13" s="249">
        <f t="shared" si="1"/>
        <v>13.856363636363636</v>
      </c>
      <c r="C13" s="244">
        <f t="shared" si="1"/>
        <v>16.879090909090909</v>
      </c>
      <c r="D13" s="244">
        <f t="shared" si="1"/>
        <v>21.184545454545454</v>
      </c>
      <c r="E13" s="250">
        <f t="shared" si="1"/>
        <v>24.441818181818181</v>
      </c>
      <c r="F13" s="14"/>
      <c r="G13" s="257">
        <v>15242</v>
      </c>
      <c r="H13" s="245">
        <v>18567</v>
      </c>
      <c r="I13" s="245">
        <v>23303</v>
      </c>
      <c r="J13" s="258">
        <v>26886</v>
      </c>
    </row>
    <row r="14" spans="1:10" x14ac:dyDescent="0.3">
      <c r="A14" s="3" t="s">
        <v>175</v>
      </c>
      <c r="B14" s="249">
        <f t="shared" si="1"/>
        <v>7.7909090909090901</v>
      </c>
      <c r="C14" s="244">
        <f t="shared" si="1"/>
        <v>8.502727272727272</v>
      </c>
      <c r="D14" s="244">
        <f t="shared" si="1"/>
        <v>14.952727272727271</v>
      </c>
      <c r="E14" s="250">
        <f t="shared" si="1"/>
        <v>16.065454545454543</v>
      </c>
      <c r="F14" s="14"/>
      <c r="G14" s="257">
        <v>8570</v>
      </c>
      <c r="H14" s="245">
        <v>9353</v>
      </c>
      <c r="I14" s="245">
        <v>16448</v>
      </c>
      <c r="J14" s="258">
        <v>17672</v>
      </c>
    </row>
    <row r="15" spans="1:10" x14ac:dyDescent="0.3">
      <c r="A15" s="6" t="s">
        <v>200</v>
      </c>
      <c r="B15" s="251">
        <f t="shared" si="1"/>
        <v>271.25454545454539</v>
      </c>
      <c r="C15" s="226">
        <f t="shared" si="1"/>
        <v>282.83363636363634</v>
      </c>
      <c r="D15" s="226">
        <f t="shared" si="1"/>
        <v>332.6663636363636</v>
      </c>
      <c r="E15" s="252">
        <f t="shared" si="1"/>
        <v>333.13181818181818</v>
      </c>
      <c r="F15" s="245"/>
      <c r="G15" s="259">
        <v>298380</v>
      </c>
      <c r="H15" s="52">
        <v>311117</v>
      </c>
      <c r="I15" s="52">
        <v>365933</v>
      </c>
      <c r="J15" s="260">
        <v>366445</v>
      </c>
    </row>
    <row r="16" spans="1:10" ht="15" thickBot="1" x14ac:dyDescent="0.35">
      <c r="A16" s="223" t="s">
        <v>176</v>
      </c>
      <c r="B16" s="253">
        <f t="shared" si="1"/>
        <v>294.57727272727271</v>
      </c>
      <c r="C16" s="227">
        <f t="shared" si="1"/>
        <v>315.9163636363636</v>
      </c>
      <c r="D16" s="227">
        <f t="shared" si="1"/>
        <v>370.50636363636357</v>
      </c>
      <c r="E16" s="254">
        <f t="shared" si="1"/>
        <v>374.25272727272721</v>
      </c>
      <c r="F16" s="287"/>
      <c r="G16" s="261">
        <v>324035</v>
      </c>
      <c r="H16" s="228">
        <v>347508</v>
      </c>
      <c r="I16" s="228">
        <v>407557</v>
      </c>
      <c r="J16" s="262">
        <f>SUM(J12:J15)</f>
        <v>411678</v>
      </c>
    </row>
    <row r="17" spans="1:10" ht="15" thickTop="1" x14ac:dyDescent="0.3">
      <c r="A17" s="88" t="s">
        <v>199</v>
      </c>
      <c r="B17" s="249">
        <f t="shared" si="1"/>
        <v>352.54090909090905</v>
      </c>
      <c r="C17" s="244">
        <f t="shared" si="1"/>
        <v>377.32272727272726</v>
      </c>
      <c r="D17" s="244">
        <f t="shared" si="1"/>
        <v>463.80181818181813</v>
      </c>
      <c r="E17" s="250">
        <f t="shared" si="1"/>
        <v>483.48272727272723</v>
      </c>
      <c r="F17" s="287"/>
      <c r="G17" s="257">
        <v>387795</v>
      </c>
      <c r="H17" s="245">
        <v>415055</v>
      </c>
      <c r="I17" s="245">
        <v>510182</v>
      </c>
      <c r="J17" s="258">
        <v>531831</v>
      </c>
    </row>
    <row r="18" spans="1:10" x14ac:dyDescent="0.3">
      <c r="B18" s="249"/>
      <c r="C18" s="244"/>
      <c r="D18" s="244"/>
      <c r="E18" s="250"/>
      <c r="F18" s="14"/>
      <c r="G18" s="257"/>
      <c r="H18" s="245"/>
      <c r="I18" s="245"/>
      <c r="J18" s="258"/>
    </row>
    <row r="19" spans="1:10" x14ac:dyDescent="0.3">
      <c r="A19" s="1" t="s">
        <v>179</v>
      </c>
      <c r="B19" s="249"/>
      <c r="C19" s="244"/>
      <c r="D19" s="244"/>
      <c r="E19" s="250"/>
      <c r="F19" s="14"/>
      <c r="G19" s="257"/>
      <c r="H19" s="245"/>
      <c r="I19" s="245"/>
      <c r="J19" s="258"/>
    </row>
    <row r="20" spans="1:10" x14ac:dyDescent="0.3">
      <c r="A20" s="3" t="s">
        <v>180</v>
      </c>
      <c r="B20" s="249"/>
      <c r="C20" s="244"/>
      <c r="D20" s="244"/>
      <c r="E20" s="250"/>
      <c r="F20" s="14"/>
      <c r="G20" s="257"/>
      <c r="H20" s="245"/>
      <c r="I20" s="245"/>
      <c r="J20" s="258"/>
    </row>
    <row r="21" spans="1:10" x14ac:dyDescent="0.3">
      <c r="A21" s="3" t="s">
        <v>181</v>
      </c>
      <c r="B21" s="249">
        <f t="shared" ref="B21:E25" si="2">(G21/1.1)/1000</f>
        <v>68.933636363636353</v>
      </c>
      <c r="C21" s="244">
        <f t="shared" si="2"/>
        <v>64.131818181818176</v>
      </c>
      <c r="D21" s="244">
        <f t="shared" si="2"/>
        <v>87.889090909090896</v>
      </c>
      <c r="E21" s="250">
        <f t="shared" si="2"/>
        <v>97.032727272727271</v>
      </c>
      <c r="F21" s="14"/>
      <c r="G21" s="257">
        <v>75827</v>
      </c>
      <c r="H21" s="245">
        <v>70545</v>
      </c>
      <c r="I21" s="245">
        <v>96678</v>
      </c>
      <c r="J21" s="258">
        <v>106736</v>
      </c>
    </row>
    <row r="22" spans="1:10" x14ac:dyDescent="0.3">
      <c r="A22" s="3" t="s">
        <v>182</v>
      </c>
      <c r="B22" s="249">
        <f t="shared" si="2"/>
        <v>10.449090909090907</v>
      </c>
      <c r="C22" s="244">
        <f t="shared" si="2"/>
        <v>2.1254545454545455</v>
      </c>
      <c r="D22" s="244">
        <f t="shared" si="2"/>
        <v>22.707272727272724</v>
      </c>
      <c r="E22" s="250">
        <f t="shared" si="2"/>
        <v>0.85545454545454536</v>
      </c>
      <c r="F22" s="14"/>
      <c r="G22" s="257">
        <v>11494</v>
      </c>
      <c r="H22" s="245">
        <v>2338</v>
      </c>
      <c r="I22" s="245">
        <v>24978</v>
      </c>
      <c r="J22" s="258">
        <v>941</v>
      </c>
    </row>
    <row r="23" spans="1:10" x14ac:dyDescent="0.3">
      <c r="A23" s="3" t="s">
        <v>183</v>
      </c>
      <c r="B23" s="249">
        <f t="shared" si="2"/>
        <v>5.4072727272727272</v>
      </c>
      <c r="C23" s="244">
        <f t="shared" si="2"/>
        <v>4.4136363636363631</v>
      </c>
      <c r="D23" s="244">
        <f t="shared" si="2"/>
        <v>6.5127272727272718</v>
      </c>
      <c r="E23" s="250">
        <f t="shared" si="2"/>
        <v>5.1854545454545447</v>
      </c>
      <c r="F23" s="14"/>
      <c r="G23" s="257">
        <v>5948</v>
      </c>
      <c r="H23" s="245">
        <v>4855</v>
      </c>
      <c r="I23" s="245">
        <v>7164</v>
      </c>
      <c r="J23" s="258">
        <v>5704</v>
      </c>
    </row>
    <row r="24" spans="1:10" x14ac:dyDescent="0.3">
      <c r="A24" s="6" t="s">
        <v>184</v>
      </c>
      <c r="B24" s="251">
        <f t="shared" si="2"/>
        <v>3.9263636363636358</v>
      </c>
      <c r="C24" s="226">
        <f t="shared" si="2"/>
        <v>3.2154545454545449</v>
      </c>
      <c r="D24" s="226">
        <f t="shared" si="2"/>
        <v>4.9236363636363629</v>
      </c>
      <c r="E24" s="252">
        <f t="shared" si="2"/>
        <v>5.5836363636363631</v>
      </c>
      <c r="F24" s="245"/>
      <c r="G24" s="259">
        <v>4319</v>
      </c>
      <c r="H24" s="52">
        <v>3537</v>
      </c>
      <c r="I24" s="52">
        <v>5416</v>
      </c>
      <c r="J24" s="260">
        <v>6142</v>
      </c>
    </row>
    <row r="25" spans="1:10" x14ac:dyDescent="0.3">
      <c r="A25" s="3" t="s">
        <v>185</v>
      </c>
      <c r="B25" s="249">
        <f t="shared" si="2"/>
        <v>88.716363636363639</v>
      </c>
      <c r="C25" s="244">
        <f t="shared" si="2"/>
        <v>74.899090909090901</v>
      </c>
      <c r="D25" s="244">
        <f t="shared" si="2"/>
        <v>122.03090909090909</v>
      </c>
      <c r="E25" s="250">
        <f t="shared" si="2"/>
        <v>108.65727272727273</v>
      </c>
      <c r="F25" s="287"/>
      <c r="G25" s="257">
        <v>97588</v>
      </c>
      <c r="H25" s="245">
        <v>82389</v>
      </c>
      <c r="I25" s="245">
        <v>134234</v>
      </c>
      <c r="J25" s="258">
        <v>119523</v>
      </c>
    </row>
    <row r="26" spans="1:10" x14ac:dyDescent="0.3">
      <c r="B26" s="249"/>
      <c r="C26" s="244"/>
      <c r="D26" s="244"/>
      <c r="E26" s="250"/>
      <c r="F26" s="14"/>
      <c r="G26" s="257"/>
      <c r="H26" s="245"/>
      <c r="I26" s="245"/>
      <c r="J26" s="258"/>
    </row>
    <row r="27" spans="1:10" x14ac:dyDescent="0.3">
      <c r="A27" t="s">
        <v>186</v>
      </c>
      <c r="B27" s="249"/>
      <c r="C27" s="244"/>
      <c r="D27" s="244"/>
      <c r="E27" s="250"/>
      <c r="F27" s="14"/>
      <c r="G27" s="257"/>
      <c r="H27" s="245"/>
      <c r="I27" s="245"/>
      <c r="J27" s="258"/>
    </row>
    <row r="28" spans="1:10" x14ac:dyDescent="0.3">
      <c r="A28" t="s">
        <v>182</v>
      </c>
      <c r="B28" s="249">
        <f t="shared" ref="B28:E34" si="3">(G28/1.1)/1000</f>
        <v>81.948181818181808</v>
      </c>
      <c r="C28" s="244">
        <f t="shared" si="3"/>
        <v>128.04</v>
      </c>
      <c r="D28" s="244">
        <f t="shared" si="3"/>
        <v>128.70545454545453</v>
      </c>
      <c r="E28" s="250">
        <f t="shared" si="3"/>
        <v>162.21545454545452</v>
      </c>
      <c r="F28" s="14"/>
      <c r="G28" s="257">
        <v>90143</v>
      </c>
      <c r="H28" s="245">
        <v>140844</v>
      </c>
      <c r="I28" s="245">
        <v>141576</v>
      </c>
      <c r="J28" s="258">
        <v>178437</v>
      </c>
    </row>
    <row r="29" spans="1:10" x14ac:dyDescent="0.3">
      <c r="A29" t="s">
        <v>187</v>
      </c>
      <c r="B29" s="249">
        <f t="shared" si="3"/>
        <v>10.476363636363637</v>
      </c>
      <c r="C29" s="244">
        <f t="shared" si="3"/>
        <v>9.2681818181818176</v>
      </c>
      <c r="D29" s="244">
        <f t="shared" si="3"/>
        <v>9.4827272727272724</v>
      </c>
      <c r="E29" s="250">
        <f t="shared" si="3"/>
        <v>8.9918181818181822</v>
      </c>
      <c r="F29" s="14"/>
      <c r="G29" s="257">
        <v>11524</v>
      </c>
      <c r="H29" s="245">
        <v>10195</v>
      </c>
      <c r="I29" s="245">
        <v>10431</v>
      </c>
      <c r="J29" s="258">
        <v>9891</v>
      </c>
    </row>
    <row r="30" spans="1:10" x14ac:dyDescent="0.3">
      <c r="A30" t="s">
        <v>184</v>
      </c>
      <c r="B30" s="249">
        <f t="shared" si="3"/>
        <v>2.2454545454545456</v>
      </c>
      <c r="C30" s="244">
        <f t="shared" si="3"/>
        <v>3.2154545454545449</v>
      </c>
      <c r="D30" s="244">
        <f t="shared" si="3"/>
        <v>3.0509090909090903</v>
      </c>
      <c r="E30" s="250">
        <f t="shared" si="3"/>
        <v>3.2681818181818181</v>
      </c>
      <c r="F30" s="14"/>
      <c r="G30" s="257">
        <v>2470</v>
      </c>
      <c r="H30" s="245">
        <v>3537</v>
      </c>
      <c r="I30" s="245">
        <v>3356</v>
      </c>
      <c r="J30" s="258">
        <v>3595</v>
      </c>
    </row>
    <row r="31" spans="1:10" x14ac:dyDescent="0.3">
      <c r="A31" t="s">
        <v>188</v>
      </c>
      <c r="B31" s="249">
        <f t="shared" si="3"/>
        <v>0</v>
      </c>
      <c r="C31" s="244">
        <f t="shared" si="3"/>
        <v>0</v>
      </c>
      <c r="D31" s="244">
        <f t="shared" si="3"/>
        <v>4.24</v>
      </c>
      <c r="E31" s="250">
        <f t="shared" si="3"/>
        <v>3.8918181818181816</v>
      </c>
      <c r="F31" s="14"/>
      <c r="G31" s="257">
        <v>0</v>
      </c>
      <c r="H31" s="245">
        <v>0</v>
      </c>
      <c r="I31" s="245">
        <v>4664</v>
      </c>
      <c r="J31" s="258">
        <v>4281</v>
      </c>
    </row>
    <row r="32" spans="1:10" x14ac:dyDescent="0.3">
      <c r="A32" s="6" t="s">
        <v>189</v>
      </c>
      <c r="B32" s="255">
        <f t="shared" si="3"/>
        <v>0</v>
      </c>
      <c r="C32" s="226">
        <f t="shared" si="3"/>
        <v>3.4027272727272724</v>
      </c>
      <c r="D32" s="226">
        <f t="shared" si="3"/>
        <v>3.4718181818181817</v>
      </c>
      <c r="E32" s="252">
        <f t="shared" si="3"/>
        <v>3.1309090909090904</v>
      </c>
      <c r="F32" s="288"/>
      <c r="G32" s="263">
        <v>0</v>
      </c>
      <c r="H32" s="52">
        <v>3743</v>
      </c>
      <c r="I32" s="52">
        <v>3819</v>
      </c>
      <c r="J32" s="260">
        <v>3444</v>
      </c>
    </row>
    <row r="33" spans="1:10" ht="15" thickBot="1" x14ac:dyDescent="0.35">
      <c r="A33" s="223" t="s">
        <v>198</v>
      </c>
      <c r="B33" s="253">
        <f t="shared" si="3"/>
        <v>24.104545454545452</v>
      </c>
      <c r="C33" s="227">
        <f t="shared" si="3"/>
        <v>143.92636363636362</v>
      </c>
      <c r="D33" s="227">
        <f t="shared" si="3"/>
        <v>148.95090909090908</v>
      </c>
      <c r="E33" s="254">
        <f t="shared" si="3"/>
        <v>181.49818181818179</v>
      </c>
      <c r="F33" s="245"/>
      <c r="G33" s="261">
        <v>26515</v>
      </c>
      <c r="H33" s="228">
        <v>158319</v>
      </c>
      <c r="I33" s="228">
        <v>163846</v>
      </c>
      <c r="J33" s="262">
        <v>199648</v>
      </c>
    </row>
    <row r="34" spans="1:10" ht="15" thickTop="1" x14ac:dyDescent="0.3">
      <c r="A34" t="s">
        <v>190</v>
      </c>
      <c r="B34" s="249">
        <f t="shared" si="3"/>
        <v>55.141818181818174</v>
      </c>
      <c r="C34" s="244">
        <f t="shared" si="3"/>
        <v>218.82545454545453</v>
      </c>
      <c r="D34" s="244">
        <f t="shared" si="3"/>
        <v>270.9818181818182</v>
      </c>
      <c r="E34" s="250">
        <f t="shared" si="3"/>
        <v>290.15545454545452</v>
      </c>
      <c r="F34" s="287"/>
      <c r="G34" s="257">
        <v>60656</v>
      </c>
      <c r="H34" s="245">
        <v>240708</v>
      </c>
      <c r="I34" s="245">
        <v>298080</v>
      </c>
      <c r="J34" s="258">
        <v>319171</v>
      </c>
    </row>
    <row r="35" spans="1:10" x14ac:dyDescent="0.3">
      <c r="B35" s="249"/>
      <c r="C35" s="244"/>
      <c r="D35" s="244"/>
      <c r="E35" s="250"/>
      <c r="F35" s="24"/>
      <c r="G35" s="257"/>
      <c r="H35" s="245"/>
      <c r="I35" s="245"/>
      <c r="J35" s="258"/>
    </row>
    <row r="36" spans="1:10" x14ac:dyDescent="0.3">
      <c r="A36" s="1" t="s">
        <v>191</v>
      </c>
      <c r="B36" s="249"/>
      <c r="C36" s="244"/>
      <c r="D36" s="244"/>
      <c r="E36" s="250"/>
      <c r="F36" s="24"/>
      <c r="G36" s="257"/>
      <c r="H36" s="245"/>
      <c r="I36" s="245"/>
      <c r="J36" s="258"/>
    </row>
    <row r="37" spans="1:10" x14ac:dyDescent="0.3">
      <c r="A37" t="s">
        <v>192</v>
      </c>
      <c r="B37" s="249">
        <f t="shared" ref="B37:E42" si="4">(G37/1.1)/1000</f>
        <v>162.85727272727271</v>
      </c>
      <c r="C37" s="244">
        <f t="shared" si="4"/>
        <v>162.85727272727271</v>
      </c>
      <c r="D37" s="244">
        <f t="shared" si="4"/>
        <v>183.03545454545454</v>
      </c>
      <c r="E37" s="250">
        <f t="shared" si="4"/>
        <v>200.63818181818181</v>
      </c>
      <c r="F37" s="24"/>
      <c r="G37" s="257">
        <v>179143</v>
      </c>
      <c r="H37" s="245">
        <v>179143</v>
      </c>
      <c r="I37" s="245">
        <v>201339</v>
      </c>
      <c r="J37" s="258">
        <v>220702</v>
      </c>
    </row>
    <row r="38" spans="1:10" x14ac:dyDescent="0.3">
      <c r="A38" t="s">
        <v>193</v>
      </c>
      <c r="B38" s="249">
        <f t="shared" si="4"/>
        <v>-8.172727272727272</v>
      </c>
      <c r="C38" s="244">
        <f t="shared" si="4"/>
        <v>-18.472727272727273</v>
      </c>
      <c r="D38" s="244">
        <f t="shared" si="4"/>
        <v>-16.900909090909089</v>
      </c>
      <c r="E38" s="250">
        <f t="shared" si="4"/>
        <v>-44.655454545454546</v>
      </c>
      <c r="F38" s="24"/>
      <c r="G38" s="264">
        <v>-8990</v>
      </c>
      <c r="H38" s="265">
        <v>-20320</v>
      </c>
      <c r="I38" s="265">
        <v>-18591</v>
      </c>
      <c r="J38" s="266">
        <v>-49121</v>
      </c>
    </row>
    <row r="39" spans="1:10" x14ac:dyDescent="0.3">
      <c r="A39" s="6" t="s">
        <v>194</v>
      </c>
      <c r="B39" s="251">
        <f t="shared" si="4"/>
        <v>14.364545454545453</v>
      </c>
      <c r="C39" s="226">
        <f t="shared" si="4"/>
        <v>13.870909090909089</v>
      </c>
      <c r="D39" s="226">
        <f t="shared" si="4"/>
        <v>22.899999999999995</v>
      </c>
      <c r="E39" s="252">
        <f t="shared" si="4"/>
        <v>27.555454545454545</v>
      </c>
      <c r="F39" s="286"/>
      <c r="G39" s="259">
        <v>15801</v>
      </c>
      <c r="H39" s="52">
        <v>15258</v>
      </c>
      <c r="I39" s="52">
        <v>25190</v>
      </c>
      <c r="J39" s="260">
        <v>30311</v>
      </c>
    </row>
    <row r="40" spans="1:10" x14ac:dyDescent="0.3">
      <c r="A40" t="s">
        <v>195</v>
      </c>
      <c r="B40" s="249">
        <f t="shared" si="4"/>
        <v>169.04909090909089</v>
      </c>
      <c r="C40" s="244">
        <f t="shared" si="4"/>
        <v>158.25545454545454</v>
      </c>
      <c r="D40" s="244">
        <f t="shared" si="4"/>
        <v>189.03454545454545</v>
      </c>
      <c r="E40" s="250">
        <f t="shared" si="4"/>
        <v>192.62909090909088</v>
      </c>
      <c r="F40" s="19"/>
      <c r="G40" s="257">
        <v>185954</v>
      </c>
      <c r="H40" s="245">
        <v>174081</v>
      </c>
      <c r="I40" s="245">
        <v>207938</v>
      </c>
      <c r="J40" s="258">
        <v>211892</v>
      </c>
    </row>
    <row r="41" spans="1:10" ht="15" thickBot="1" x14ac:dyDescent="0.35">
      <c r="A41" s="223" t="s">
        <v>196</v>
      </c>
      <c r="B41" s="253">
        <f t="shared" si="4"/>
        <v>0.10545454545454544</v>
      </c>
      <c r="C41" s="227">
        <f t="shared" si="4"/>
        <v>0.24181818181818179</v>
      </c>
      <c r="D41" s="227">
        <f t="shared" si="4"/>
        <v>3.7854545454545452</v>
      </c>
      <c r="E41" s="254">
        <f t="shared" si="4"/>
        <v>0.69818181818181813</v>
      </c>
      <c r="F41" s="286"/>
      <c r="G41" s="261">
        <v>116</v>
      </c>
      <c r="H41" s="228">
        <v>266</v>
      </c>
      <c r="I41" s="228">
        <v>4164</v>
      </c>
      <c r="J41" s="262">
        <v>768</v>
      </c>
    </row>
    <row r="42" spans="1:10" ht="15" thickTop="1" x14ac:dyDescent="0.3">
      <c r="A42" t="s">
        <v>197</v>
      </c>
      <c r="B42" s="283">
        <f t="shared" si="4"/>
        <v>169.15454545454543</v>
      </c>
      <c r="C42" s="284">
        <f t="shared" si="4"/>
        <v>158.4972727272727</v>
      </c>
      <c r="D42" s="284">
        <f t="shared" si="4"/>
        <v>192.81999999999996</v>
      </c>
      <c r="E42" s="285">
        <f t="shared" si="4"/>
        <v>193.32727272727271</v>
      </c>
      <c r="F42" s="229"/>
      <c r="G42" s="280">
        <v>186070</v>
      </c>
      <c r="H42" s="281">
        <v>174347</v>
      </c>
      <c r="I42" s="281">
        <v>212102</v>
      </c>
      <c r="J42" s="282">
        <v>212660</v>
      </c>
    </row>
    <row r="43" spans="1:10" x14ac:dyDescent="0.3">
      <c r="F43" s="23"/>
      <c r="G43" s="14"/>
      <c r="H43" s="14"/>
      <c r="I43" s="14"/>
      <c r="J43" s="14"/>
    </row>
    <row r="44" spans="1:10" x14ac:dyDescent="0.3">
      <c r="A44" s="1" t="s">
        <v>226</v>
      </c>
      <c r="G44" s="14"/>
      <c r="H44" s="14"/>
      <c r="I44" s="14"/>
      <c r="J44" s="14"/>
    </row>
    <row r="45" spans="1:10" x14ac:dyDescent="0.3">
      <c r="G45" s="14"/>
      <c r="H45" s="14"/>
      <c r="I45" s="14"/>
      <c r="J45" s="14"/>
    </row>
    <row r="46" spans="1:10" x14ac:dyDescent="0.3">
      <c r="A46" s="1"/>
      <c r="G46" s="14"/>
      <c r="H46" s="14"/>
      <c r="I46" s="14"/>
      <c r="J46" s="14"/>
    </row>
    <row r="47" spans="1:10" x14ac:dyDescent="0.3">
      <c r="A47" s="26" t="s">
        <v>227</v>
      </c>
      <c r="B47" s="27" t="s">
        <v>34</v>
      </c>
      <c r="C47" s="27" t="s">
        <v>35</v>
      </c>
      <c r="D47" s="27" t="s">
        <v>36</v>
      </c>
      <c r="E47" s="27" t="s">
        <v>37</v>
      </c>
      <c r="G47" s="27" t="s">
        <v>34</v>
      </c>
      <c r="H47" s="27" t="s">
        <v>35</v>
      </c>
      <c r="I47" s="27" t="s">
        <v>36</v>
      </c>
      <c r="J47" s="27" t="s">
        <v>37</v>
      </c>
    </row>
    <row r="48" spans="1:10" x14ac:dyDescent="0.3">
      <c r="A48" t="s">
        <v>204</v>
      </c>
      <c r="B48" s="273">
        <f>(G48/1.1)/1000</f>
        <v>-1.4963636363636363</v>
      </c>
      <c r="C48" s="274">
        <f>(H48/1.1)/1000</f>
        <v>-0.26090909090909087</v>
      </c>
      <c r="D48" s="274">
        <f>(I48/1.1)/1000</f>
        <v>-1.8918181818181818</v>
      </c>
      <c r="E48" s="275">
        <f>(J48/1.1)/1000</f>
        <v>-20.796363636363637</v>
      </c>
      <c r="G48" s="267">
        <v>-1646</v>
      </c>
      <c r="H48" s="268">
        <v>-287</v>
      </c>
      <c r="I48" s="268">
        <v>-2081</v>
      </c>
      <c r="J48" s="269">
        <v>-22876</v>
      </c>
    </row>
    <row r="49" spans="1:10" x14ac:dyDescent="0.3">
      <c r="B49" s="71"/>
      <c r="C49" s="22"/>
      <c r="D49" s="22"/>
      <c r="E49" s="276"/>
      <c r="G49" s="257"/>
      <c r="H49" s="245"/>
      <c r="I49" s="245"/>
      <c r="J49" s="258"/>
    </row>
    <row r="50" spans="1:10" x14ac:dyDescent="0.3">
      <c r="A50" s="26" t="s">
        <v>206</v>
      </c>
      <c r="B50" s="27" t="s">
        <v>34</v>
      </c>
      <c r="C50" s="27" t="s">
        <v>35</v>
      </c>
      <c r="D50" s="27" t="s">
        <v>36</v>
      </c>
      <c r="E50" s="27" t="s">
        <v>37</v>
      </c>
      <c r="G50" s="27" t="s">
        <v>34</v>
      </c>
      <c r="H50" s="27" t="s">
        <v>35</v>
      </c>
      <c r="I50" s="27" t="s">
        <v>36</v>
      </c>
      <c r="J50" s="27" t="s">
        <v>37</v>
      </c>
    </row>
    <row r="51" spans="1:10" x14ac:dyDescent="0.3">
      <c r="A51" t="s">
        <v>205</v>
      </c>
      <c r="B51" s="273">
        <f t="shared" ref="B51:E55" si="5">(G51/1.1)/1000</f>
        <v>0</v>
      </c>
      <c r="C51" s="274">
        <f t="shared" si="5"/>
        <v>0</v>
      </c>
      <c r="D51" s="274">
        <f t="shared" si="5"/>
        <v>0</v>
      </c>
      <c r="E51" s="275">
        <f t="shared" si="5"/>
        <v>-11.237272727272726</v>
      </c>
      <c r="G51" s="267">
        <v>0</v>
      </c>
      <c r="H51" s="268">
        <v>0</v>
      </c>
      <c r="I51" s="268">
        <v>0</v>
      </c>
      <c r="J51" s="269">
        <v>-12361</v>
      </c>
    </row>
    <row r="52" spans="1:10" x14ac:dyDescent="0.3">
      <c r="A52" t="s">
        <v>201</v>
      </c>
      <c r="B52" s="273">
        <f t="shared" si="5"/>
        <v>35.033636363636361</v>
      </c>
      <c r="C52" s="274">
        <f t="shared" si="5"/>
        <v>53.224545454545449</v>
      </c>
      <c r="D52" s="274">
        <f t="shared" si="5"/>
        <v>8.1818181818181817</v>
      </c>
      <c r="E52" s="275">
        <f t="shared" si="5"/>
        <v>31.053636363636361</v>
      </c>
      <c r="G52" s="267">
        <v>38537</v>
      </c>
      <c r="H52" s="268">
        <v>58547</v>
      </c>
      <c r="I52" s="268">
        <v>9000</v>
      </c>
      <c r="J52" s="269">
        <v>34159</v>
      </c>
    </row>
    <row r="53" spans="1:10" x14ac:dyDescent="0.3">
      <c r="A53" t="s">
        <v>202</v>
      </c>
      <c r="B53" s="273">
        <f t="shared" si="5"/>
        <v>-2.1754545454545453</v>
      </c>
      <c r="C53" s="274">
        <f t="shared" si="5"/>
        <v>-4.0909090909090908</v>
      </c>
      <c r="D53" s="274">
        <f t="shared" si="5"/>
        <v>-10.624545454545453</v>
      </c>
      <c r="E53" s="275">
        <f t="shared" si="5"/>
        <v>-8.5618181818181824</v>
      </c>
      <c r="G53" s="267">
        <v>-2393</v>
      </c>
      <c r="H53" s="268">
        <v>-4500</v>
      </c>
      <c r="I53" s="268">
        <v>-11687</v>
      </c>
      <c r="J53" s="269">
        <v>-9418</v>
      </c>
    </row>
    <row r="54" spans="1:10" x14ac:dyDescent="0.3">
      <c r="A54" t="s">
        <v>203</v>
      </c>
      <c r="B54" s="273">
        <f t="shared" si="5"/>
        <v>-13.810909090909091</v>
      </c>
      <c r="C54" s="274">
        <f t="shared" si="5"/>
        <v>-14.363636363636362</v>
      </c>
      <c r="D54" s="274">
        <f t="shared" si="5"/>
        <v>-11.516363636363636</v>
      </c>
      <c r="E54" s="275">
        <f t="shared" si="5"/>
        <v>-11.997272727272726</v>
      </c>
      <c r="G54" s="267">
        <v>-15192</v>
      </c>
      <c r="H54" s="268">
        <v>-15800</v>
      </c>
      <c r="I54" s="268">
        <v>-12668</v>
      </c>
      <c r="J54" s="269">
        <v>-13197</v>
      </c>
    </row>
    <row r="55" spans="1:10" x14ac:dyDescent="0.3">
      <c r="A55" t="s">
        <v>221</v>
      </c>
      <c r="B55" s="277">
        <f t="shared" si="5"/>
        <v>19.074545454545451</v>
      </c>
      <c r="C55" s="278">
        <f t="shared" si="5"/>
        <v>34.770000000000003</v>
      </c>
      <c r="D55" s="278">
        <f t="shared" si="5"/>
        <v>-13.959090909090907</v>
      </c>
      <c r="E55" s="279">
        <f t="shared" si="5"/>
        <v>-0.74363636363636365</v>
      </c>
      <c r="G55" s="270">
        <v>20982</v>
      </c>
      <c r="H55" s="271">
        <v>38247</v>
      </c>
      <c r="I55" s="271">
        <v>-15355</v>
      </c>
      <c r="J55" s="272">
        <v>-818</v>
      </c>
    </row>
    <row r="56" spans="1:10" x14ac:dyDescent="0.3">
      <c r="G56" s="35"/>
      <c r="H56" s="35"/>
      <c r="I56" s="35"/>
      <c r="J56" s="35"/>
    </row>
    <row r="57" spans="1:10" x14ac:dyDescent="0.3">
      <c r="A57" s="1" t="s">
        <v>333</v>
      </c>
    </row>
    <row r="58" spans="1:10" x14ac:dyDescent="0.3">
      <c r="A58" s="20" t="s">
        <v>331</v>
      </c>
      <c r="B58" s="35">
        <f>917.12/1.1</f>
        <v>833.74545454545444</v>
      </c>
    </row>
    <row r="59" spans="1:10" x14ac:dyDescent="0.3">
      <c r="A59" s="20" t="s">
        <v>334</v>
      </c>
    </row>
    <row r="61" spans="1:10" ht="18.600000000000001" x14ac:dyDescent="0.35">
      <c r="A61" s="183"/>
    </row>
  </sheetData>
  <mergeCells count="2">
    <mergeCell ref="G4:J4"/>
    <mergeCell ref="B4:E4"/>
  </mergeCells>
  <hyperlinks>
    <hyperlink ref="B1" location="Index!A1" display="Back to Index"/>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O77"/>
  <sheetViews>
    <sheetView topLeftCell="A75" zoomScale="90" zoomScaleNormal="90" workbookViewId="0">
      <selection activeCell="L26" sqref="L26"/>
    </sheetView>
  </sheetViews>
  <sheetFormatPr defaultRowHeight="14.4" x14ac:dyDescent="0.3"/>
  <cols>
    <col min="1" max="1" width="39.88671875" bestFit="1" customWidth="1"/>
    <col min="5" max="5" width="10.44140625" customWidth="1"/>
  </cols>
  <sheetData>
    <row r="1" spans="1:15" x14ac:dyDescent="0.3">
      <c r="A1" s="1" t="s">
        <v>286</v>
      </c>
      <c r="B1" s="59" t="s">
        <v>59</v>
      </c>
    </row>
    <row r="3" spans="1:15" x14ac:dyDescent="0.3">
      <c r="A3" s="1" t="s">
        <v>151</v>
      </c>
      <c r="B3" s="3"/>
      <c r="C3" s="3"/>
    </row>
    <row r="4" spans="1:15" x14ac:dyDescent="0.3">
      <c r="A4" s="20" t="s">
        <v>288</v>
      </c>
      <c r="B4" s="27" t="s">
        <v>34</v>
      </c>
      <c r="C4" s="27" t="s">
        <v>35</v>
      </c>
      <c r="D4" s="27" t="s">
        <v>36</v>
      </c>
      <c r="E4" s="27" t="s">
        <v>37</v>
      </c>
      <c r="F4" s="2"/>
      <c r="G4" s="2"/>
      <c r="H4" s="2"/>
      <c r="I4" s="2"/>
    </row>
    <row r="5" spans="1:15" x14ac:dyDescent="0.3">
      <c r="A5" t="s">
        <v>149</v>
      </c>
      <c r="B5" s="202">
        <f>'13'!B13</f>
        <v>194.41545454545454</v>
      </c>
      <c r="C5" s="202">
        <f>'13'!C13</f>
        <v>221.57999999999998</v>
      </c>
      <c r="D5" s="202">
        <f>'13'!D13</f>
        <v>296.51545454545453</v>
      </c>
      <c r="E5" s="202">
        <f>'13'!E13</f>
        <v>357.27636363636361</v>
      </c>
      <c r="F5" s="201"/>
      <c r="G5" s="201"/>
      <c r="H5" s="201"/>
      <c r="I5" s="201"/>
    </row>
    <row r="6" spans="1:15" x14ac:dyDescent="0.3">
      <c r="A6" t="s">
        <v>18</v>
      </c>
      <c r="B6" s="19">
        <f>'13'!B17</f>
        <v>39.25454545454545</v>
      </c>
      <c r="C6" s="19">
        <f>'13'!C17</f>
        <v>45.631818181818176</v>
      </c>
      <c r="D6" s="19">
        <f>'13'!D17</f>
        <v>58.476363636363629</v>
      </c>
      <c r="E6" s="19">
        <f>'13'!E17</f>
        <v>69.220909090909089</v>
      </c>
      <c r="F6" s="201"/>
      <c r="G6" s="201"/>
      <c r="H6" s="201"/>
      <c r="I6" s="201"/>
    </row>
    <row r="7" spans="1:15" x14ac:dyDescent="0.3">
      <c r="A7" t="s">
        <v>154</v>
      </c>
      <c r="B7" s="202">
        <v>13.1</v>
      </c>
      <c r="C7" s="202">
        <v>10.6</v>
      </c>
      <c r="D7" s="202">
        <v>17.7</v>
      </c>
      <c r="E7" s="202">
        <v>21.5</v>
      </c>
      <c r="F7" s="204" t="s">
        <v>156</v>
      </c>
      <c r="G7" s="202"/>
      <c r="H7" s="202"/>
      <c r="I7" s="202"/>
    </row>
    <row r="8" spans="1:15" x14ac:dyDescent="0.3">
      <c r="A8" s="3" t="s">
        <v>155</v>
      </c>
      <c r="B8" s="5">
        <f>B7/B6</f>
        <v>0.33371931449745257</v>
      </c>
      <c r="C8" s="5">
        <f t="shared" ref="C8:E8" si="0">C7/C6</f>
        <v>0.23229405319254909</v>
      </c>
      <c r="D8" s="5">
        <f t="shared" si="0"/>
        <v>0.30268640009949632</v>
      </c>
      <c r="E8" s="5">
        <f t="shared" si="0"/>
        <v>0.31059979249569891</v>
      </c>
      <c r="F8" s="205">
        <f>AVERAGE(B8:E8)</f>
        <v>0.29482489007129919</v>
      </c>
      <c r="G8" s="202"/>
      <c r="H8" s="202"/>
      <c r="I8" s="202"/>
      <c r="J8" s="202"/>
      <c r="K8" s="16"/>
      <c r="L8" s="16"/>
      <c r="M8" s="16"/>
      <c r="N8" s="16"/>
      <c r="O8" s="16"/>
    </row>
    <row r="10" spans="1:15" x14ac:dyDescent="0.3">
      <c r="A10" s="1" t="s">
        <v>325</v>
      </c>
      <c r="B10" s="380" t="s">
        <v>67</v>
      </c>
      <c r="C10" s="394"/>
      <c r="D10" s="394"/>
      <c r="E10" s="395"/>
    </row>
    <row r="11" spans="1:15" x14ac:dyDescent="0.3">
      <c r="A11" s="20" t="s">
        <v>288</v>
      </c>
      <c r="B11" s="74" t="s">
        <v>63</v>
      </c>
      <c r="C11" s="75" t="s">
        <v>64</v>
      </c>
      <c r="D11" s="76" t="s">
        <v>65</v>
      </c>
      <c r="E11" s="66" t="s">
        <v>66</v>
      </c>
    </row>
    <row r="12" spans="1:15" x14ac:dyDescent="0.3">
      <c r="A12" t="s">
        <v>326</v>
      </c>
      <c r="B12" s="180">
        <f>C12*(1+Foreward!$AA$12)</f>
        <v>0.34799999999999998</v>
      </c>
      <c r="C12" s="206">
        <v>0.28999999999999998</v>
      </c>
      <c r="D12" s="181">
        <f>C12*(1-Foreward!$AA$13)</f>
        <v>0.24649999999999997</v>
      </c>
      <c r="E12" s="207">
        <v>0.28999999999999998</v>
      </c>
    </row>
    <row r="13" spans="1:15" s="216" customFormat="1" x14ac:dyDescent="0.3">
      <c r="A13" s="220"/>
      <c r="B13" s="221"/>
      <c r="C13" s="221"/>
      <c r="D13" s="221"/>
      <c r="E13" s="222"/>
    </row>
    <row r="14" spans="1:15" x14ac:dyDescent="0.3">
      <c r="A14" s="1" t="s">
        <v>157</v>
      </c>
    </row>
    <row r="15" spans="1:15" x14ac:dyDescent="0.3">
      <c r="A15" s="20" t="s">
        <v>288</v>
      </c>
      <c r="B15" s="27">
        <v>2011</v>
      </c>
      <c r="C15" s="27">
        <v>2012</v>
      </c>
      <c r="D15" s="27">
        <v>2013</v>
      </c>
      <c r="E15" s="27">
        <v>2014</v>
      </c>
      <c r="F15" s="29">
        <v>2015</v>
      </c>
      <c r="G15" s="27">
        <v>2016</v>
      </c>
      <c r="H15" s="29">
        <v>2017</v>
      </c>
      <c r="I15" s="29">
        <v>2018</v>
      </c>
      <c r="J15" s="27">
        <v>2019</v>
      </c>
      <c r="K15" s="29">
        <v>2020</v>
      </c>
    </row>
    <row r="16" spans="1:15" x14ac:dyDescent="0.3">
      <c r="A16" t="s">
        <v>18</v>
      </c>
      <c r="B16" s="35">
        <f>'14'!B16</f>
        <v>83.757300000000001</v>
      </c>
      <c r="C16" s="35">
        <f>'14'!C16</f>
        <v>101.346333</v>
      </c>
      <c r="D16" s="35">
        <f>'14'!D16</f>
        <v>122.62906293</v>
      </c>
      <c r="E16" s="35">
        <f>'14'!E16</f>
        <v>148.3811661453</v>
      </c>
      <c r="F16" s="35">
        <f>'14'!F16</f>
        <v>179.54121103581301</v>
      </c>
      <c r="G16" s="35">
        <f>'14'!G16</f>
        <v>217.24486535333372</v>
      </c>
      <c r="H16" s="35">
        <f>'14'!H16</f>
        <v>262.8662870775338</v>
      </c>
      <c r="I16" s="35">
        <f>'14'!I16</f>
        <v>318.06820736381587</v>
      </c>
      <c r="J16" s="35">
        <f>'14'!J16</f>
        <v>384.86253091021717</v>
      </c>
      <c r="K16" s="35">
        <f>'14'!K16</f>
        <v>465.68366240136277</v>
      </c>
    </row>
    <row r="17" spans="1:11" x14ac:dyDescent="0.3">
      <c r="A17" t="s">
        <v>154</v>
      </c>
      <c r="B17" s="35">
        <f t="shared" ref="B17:K17" si="1">B16*$E12</f>
        <v>24.289617</v>
      </c>
      <c r="C17" s="35">
        <f t="shared" si="1"/>
        <v>29.390436569999999</v>
      </c>
      <c r="D17" s="35">
        <f t="shared" si="1"/>
        <v>35.562428249699998</v>
      </c>
      <c r="E17" s="35">
        <f t="shared" si="1"/>
        <v>43.030538182137001</v>
      </c>
      <c r="F17" s="35">
        <f t="shared" si="1"/>
        <v>52.066951200385766</v>
      </c>
      <c r="G17" s="35">
        <f t="shared" si="1"/>
        <v>63.001010952466778</v>
      </c>
      <c r="H17" s="35">
        <f t="shared" si="1"/>
        <v>76.231223252484796</v>
      </c>
      <c r="I17" s="35">
        <f t="shared" si="1"/>
        <v>92.239780135506592</v>
      </c>
      <c r="J17" s="35">
        <f t="shared" si="1"/>
        <v>111.61013396396297</v>
      </c>
      <c r="K17" s="35">
        <f t="shared" si="1"/>
        <v>135.04826209639521</v>
      </c>
    </row>
    <row r="18" spans="1:11" x14ac:dyDescent="0.3">
      <c r="A18" s="20" t="s">
        <v>310</v>
      </c>
    </row>
    <row r="19" spans="1:11" s="20" customFormat="1" x14ac:dyDescent="0.3">
      <c r="A19" s="20" t="s">
        <v>311</v>
      </c>
    </row>
    <row r="21" spans="1:11" x14ac:dyDescent="0.3">
      <c r="A21" s="1" t="s">
        <v>352</v>
      </c>
    </row>
    <row r="22" spans="1:11" x14ac:dyDescent="0.3">
      <c r="A22" s="20" t="s">
        <v>288</v>
      </c>
    </row>
    <row r="23" spans="1:11" x14ac:dyDescent="0.3">
      <c r="A23" s="3" t="s">
        <v>18</v>
      </c>
      <c r="B23" s="35">
        <f>'14'!B21</f>
        <v>95.438549999999992</v>
      </c>
      <c r="C23" s="35">
        <f>'14'!C21</f>
        <v>130.06258300000002</v>
      </c>
      <c r="D23" s="35">
        <f>'14'!D21</f>
        <v>160.96271293000001</v>
      </c>
      <c r="E23" s="35">
        <f>'14'!E21</f>
        <v>196.7169121453</v>
      </c>
      <c r="F23" s="35">
        <f>'14'!F21</f>
        <v>250.02672204381298</v>
      </c>
      <c r="G23" s="35">
        <f>'14'!G21</f>
        <v>299.61906397733372</v>
      </c>
      <c r="H23" s="35">
        <f>'14'!H21</f>
        <v>358.76902255401382</v>
      </c>
      <c r="I23" s="35">
        <f>'14'!I21</f>
        <v>446.68502266060943</v>
      </c>
      <c r="J23" s="35">
        <f>'14'!J21</f>
        <v>531.21345421569845</v>
      </c>
      <c r="K23" s="35">
        <f>'14'!K21</f>
        <v>630.83274019605278</v>
      </c>
    </row>
    <row r="24" spans="1:11" x14ac:dyDescent="0.3">
      <c r="A24" s="3" t="s">
        <v>154</v>
      </c>
      <c r="B24" s="35">
        <f t="shared" ref="B24:K24" si="2">B23*$E12</f>
        <v>27.677179499999998</v>
      </c>
      <c r="C24" s="35">
        <f t="shared" si="2"/>
        <v>37.718149070000003</v>
      </c>
      <c r="D24" s="35">
        <f t="shared" si="2"/>
        <v>46.679186749700001</v>
      </c>
      <c r="E24" s="35">
        <f t="shared" si="2"/>
        <v>57.047904522136996</v>
      </c>
      <c r="F24" s="35">
        <f t="shared" si="2"/>
        <v>72.507749392705762</v>
      </c>
      <c r="G24" s="35">
        <f t="shared" si="2"/>
        <v>86.889528553426771</v>
      </c>
      <c r="H24" s="35">
        <f t="shared" si="2"/>
        <v>104.043016540664</v>
      </c>
      <c r="I24" s="35">
        <f t="shared" si="2"/>
        <v>129.53865657157672</v>
      </c>
      <c r="J24" s="35">
        <f t="shared" si="2"/>
        <v>154.05190172255254</v>
      </c>
      <c r="K24" s="35">
        <f t="shared" si="2"/>
        <v>182.9414946568553</v>
      </c>
    </row>
    <row r="25" spans="1:11" x14ac:dyDescent="0.3">
      <c r="A25" s="3"/>
    </row>
    <row r="26" spans="1:11" x14ac:dyDescent="0.3">
      <c r="A26" s="1" t="s">
        <v>377</v>
      </c>
      <c r="B26" s="35">
        <f>B23-B16</f>
        <v>11.681249999999991</v>
      </c>
      <c r="C26" s="35">
        <f t="shared" ref="C26:K26" si="3">C23-C16</f>
        <v>28.716250000000016</v>
      </c>
      <c r="D26" s="35">
        <f t="shared" si="3"/>
        <v>38.333650000000006</v>
      </c>
      <c r="E26" s="35">
        <f t="shared" si="3"/>
        <v>48.335746</v>
      </c>
      <c r="F26" s="35">
        <f t="shared" si="3"/>
        <v>70.485511007999975</v>
      </c>
      <c r="G26" s="35">
        <f t="shared" si="3"/>
        <v>82.374198624000002</v>
      </c>
      <c r="H26" s="35">
        <f t="shared" si="3"/>
        <v>95.902735476480018</v>
      </c>
      <c r="I26" s="35">
        <f t="shared" si="3"/>
        <v>128.61681529679356</v>
      </c>
      <c r="J26" s="35">
        <f t="shared" si="3"/>
        <v>146.35092330548127</v>
      </c>
      <c r="K26" s="35">
        <f t="shared" si="3"/>
        <v>165.14907779469002</v>
      </c>
    </row>
    <row r="27" spans="1:11" x14ac:dyDescent="0.3">
      <c r="A27" s="3"/>
    </row>
    <row r="28" spans="1:11" x14ac:dyDescent="0.3">
      <c r="A28" s="1" t="s">
        <v>158</v>
      </c>
      <c r="B28" s="203"/>
      <c r="C28" s="203"/>
      <c r="D28" s="203"/>
      <c r="E28" s="203"/>
    </row>
    <row r="29" spans="1:11" x14ac:dyDescent="0.3">
      <c r="A29" s="20" t="s">
        <v>288</v>
      </c>
      <c r="B29" s="203"/>
      <c r="C29" s="203"/>
      <c r="D29" s="203"/>
      <c r="E29" s="203"/>
    </row>
    <row r="30" spans="1:11" x14ac:dyDescent="0.3">
      <c r="A30" t="s">
        <v>150</v>
      </c>
      <c r="B30" s="208">
        <f>'16'!B10</f>
        <v>429.09278805980034</v>
      </c>
    </row>
    <row r="31" spans="1:11" hidden="1" x14ac:dyDescent="0.3">
      <c r="A31" s="79" t="s">
        <v>159</v>
      </c>
      <c r="B31" s="209">
        <f>$B23</f>
        <v>95.438549999999992</v>
      </c>
    </row>
    <row r="32" spans="1:11" hidden="1" x14ac:dyDescent="0.3">
      <c r="A32" t="s">
        <v>161</v>
      </c>
      <c r="B32" s="209">
        <f>$B23-$B31</f>
        <v>0</v>
      </c>
    </row>
    <row r="33" spans="1:6" hidden="1" x14ac:dyDescent="0.3">
      <c r="A33" t="s">
        <v>160</v>
      </c>
      <c r="B33" s="209">
        <f>$B30-$B31</f>
        <v>333.65423805980038</v>
      </c>
    </row>
    <row r="34" spans="1:6" hidden="1" x14ac:dyDescent="0.3">
      <c r="A34" s="79" t="s">
        <v>162</v>
      </c>
      <c r="B34" s="209"/>
      <c r="C34" s="35">
        <f>C$23</f>
        <v>130.06258300000002</v>
      </c>
    </row>
    <row r="35" spans="1:6" hidden="1" x14ac:dyDescent="0.3">
      <c r="A35" t="s">
        <v>159</v>
      </c>
      <c r="B35" s="208"/>
      <c r="C35" s="35">
        <f>IF(B33&gt;C34,C34,C34-B33)</f>
        <v>130.06258300000002</v>
      </c>
    </row>
    <row r="36" spans="1:6" hidden="1" x14ac:dyDescent="0.3">
      <c r="A36" t="s">
        <v>161</v>
      </c>
      <c r="B36" s="208"/>
      <c r="C36" s="35">
        <f>C34-C35</f>
        <v>0</v>
      </c>
    </row>
    <row r="37" spans="1:6" hidden="1" x14ac:dyDescent="0.3">
      <c r="A37" s="17" t="s">
        <v>160</v>
      </c>
      <c r="B37" s="208"/>
      <c r="C37" s="210">
        <f>B33-C35</f>
        <v>203.59165505980036</v>
      </c>
    </row>
    <row r="38" spans="1:6" hidden="1" x14ac:dyDescent="0.3">
      <c r="A38" s="79" t="s">
        <v>162</v>
      </c>
      <c r="B38" s="208"/>
      <c r="C38" s="210"/>
      <c r="D38" s="35">
        <f>D$23</f>
        <v>160.96271293000001</v>
      </c>
    </row>
    <row r="39" spans="1:6" hidden="1" x14ac:dyDescent="0.3">
      <c r="A39" t="s">
        <v>159</v>
      </c>
      <c r="B39" s="208"/>
      <c r="C39" s="210"/>
      <c r="D39" s="35">
        <f>IF(C37&gt;D38,D38,C37)</f>
        <v>160.96271293000001</v>
      </c>
    </row>
    <row r="40" spans="1:6" hidden="1" x14ac:dyDescent="0.3">
      <c r="A40" t="s">
        <v>161</v>
      </c>
      <c r="B40" s="208"/>
      <c r="C40" s="210"/>
      <c r="D40" s="35">
        <f>D38-D39</f>
        <v>0</v>
      </c>
    </row>
    <row r="41" spans="1:6" hidden="1" x14ac:dyDescent="0.3">
      <c r="A41" s="17" t="s">
        <v>160</v>
      </c>
      <c r="B41" s="208"/>
      <c r="C41" s="210"/>
      <c r="D41" s="210">
        <f>C37-D39</f>
        <v>42.62894212980035</v>
      </c>
    </row>
    <row r="42" spans="1:6" hidden="1" x14ac:dyDescent="0.3">
      <c r="A42" s="79" t="s">
        <v>162</v>
      </c>
      <c r="B42" s="208"/>
      <c r="C42" s="210"/>
      <c r="E42" s="35">
        <f>E$23</f>
        <v>196.7169121453</v>
      </c>
    </row>
    <row r="43" spans="1:6" hidden="1" x14ac:dyDescent="0.3">
      <c r="A43" t="s">
        <v>159</v>
      </c>
      <c r="B43" s="208"/>
      <c r="C43" s="210"/>
      <c r="E43" s="35">
        <f>IF(D41&gt;E42,E42,D41)</f>
        <v>42.62894212980035</v>
      </c>
    </row>
    <row r="44" spans="1:6" hidden="1" x14ac:dyDescent="0.3">
      <c r="A44" t="s">
        <v>161</v>
      </c>
      <c r="B44" s="208"/>
      <c r="C44" s="210"/>
      <c r="E44" s="35">
        <f>E42-E43</f>
        <v>154.08797001549965</v>
      </c>
    </row>
    <row r="45" spans="1:6" hidden="1" x14ac:dyDescent="0.3">
      <c r="A45" s="17" t="s">
        <v>160</v>
      </c>
      <c r="B45" s="208"/>
      <c r="C45" s="210"/>
      <c r="E45" s="210">
        <f>D41-E43</f>
        <v>0</v>
      </c>
    </row>
    <row r="46" spans="1:6" hidden="1" x14ac:dyDescent="0.3">
      <c r="A46" s="79" t="s">
        <v>162</v>
      </c>
      <c r="B46" s="208"/>
      <c r="C46" s="210"/>
      <c r="E46" s="35"/>
      <c r="F46" s="35">
        <f>F$23</f>
        <v>250.02672204381298</v>
      </c>
    </row>
    <row r="47" spans="1:6" hidden="1" x14ac:dyDescent="0.3">
      <c r="A47" t="s">
        <v>159</v>
      </c>
      <c r="B47" s="208"/>
      <c r="C47" s="210"/>
      <c r="E47" s="35"/>
      <c r="F47" s="35">
        <f>IF(E45&gt;F46,F46,E45)</f>
        <v>0</v>
      </c>
    </row>
    <row r="48" spans="1:6" hidden="1" x14ac:dyDescent="0.3">
      <c r="A48" t="s">
        <v>161</v>
      </c>
      <c r="B48" s="208"/>
      <c r="C48" s="210"/>
      <c r="E48" s="35"/>
      <c r="F48" s="35">
        <f>F46-F47</f>
        <v>250.02672204381298</v>
      </c>
    </row>
    <row r="49" spans="1:10" hidden="1" x14ac:dyDescent="0.3">
      <c r="A49" s="17" t="s">
        <v>160</v>
      </c>
      <c r="B49" s="208"/>
      <c r="C49" s="210"/>
      <c r="E49" s="35"/>
      <c r="F49" s="210">
        <f>E45-F47</f>
        <v>0</v>
      </c>
    </row>
    <row r="50" spans="1:10" hidden="1" x14ac:dyDescent="0.3">
      <c r="A50" s="79" t="s">
        <v>162</v>
      </c>
      <c r="G50" s="35">
        <f>G$23</f>
        <v>299.61906397733372</v>
      </c>
    </row>
    <row r="51" spans="1:10" hidden="1" x14ac:dyDescent="0.3">
      <c r="A51" t="s">
        <v>159</v>
      </c>
      <c r="G51" s="35">
        <f>IF(F49&gt;G50,G50,F49)</f>
        <v>0</v>
      </c>
    </row>
    <row r="52" spans="1:10" hidden="1" x14ac:dyDescent="0.3">
      <c r="A52" t="s">
        <v>161</v>
      </c>
      <c r="G52" s="35">
        <f>G50-G51</f>
        <v>299.61906397733372</v>
      </c>
    </row>
    <row r="53" spans="1:10" hidden="1" x14ac:dyDescent="0.3">
      <c r="A53" s="17" t="s">
        <v>160</v>
      </c>
      <c r="G53" s="210">
        <f>F49-G51</f>
        <v>0</v>
      </c>
    </row>
    <row r="54" spans="1:10" hidden="1" x14ac:dyDescent="0.3">
      <c r="A54" s="79" t="s">
        <v>162</v>
      </c>
      <c r="H54" s="35">
        <f>H$23</f>
        <v>358.76902255401382</v>
      </c>
    </row>
    <row r="55" spans="1:10" hidden="1" x14ac:dyDescent="0.3">
      <c r="A55" t="s">
        <v>159</v>
      </c>
      <c r="H55" s="35">
        <f>IF(G53&gt;H54,H54,G53)</f>
        <v>0</v>
      </c>
    </row>
    <row r="56" spans="1:10" hidden="1" x14ac:dyDescent="0.3">
      <c r="A56" t="s">
        <v>161</v>
      </c>
      <c r="H56" s="35">
        <f>H54-H55</f>
        <v>358.76902255401382</v>
      </c>
    </row>
    <row r="57" spans="1:10" hidden="1" x14ac:dyDescent="0.3">
      <c r="A57" s="17" t="s">
        <v>160</v>
      </c>
      <c r="H57" s="210">
        <f>G53-H55</f>
        <v>0</v>
      </c>
    </row>
    <row r="58" spans="1:10" hidden="1" x14ac:dyDescent="0.3">
      <c r="A58" s="79" t="s">
        <v>162</v>
      </c>
      <c r="I58" s="35">
        <f>I$23</f>
        <v>446.68502266060943</v>
      </c>
    </row>
    <row r="59" spans="1:10" hidden="1" x14ac:dyDescent="0.3">
      <c r="A59" t="s">
        <v>159</v>
      </c>
      <c r="I59" s="35">
        <f>IF(H57&gt;I58,I58,H57)</f>
        <v>0</v>
      </c>
    </row>
    <row r="60" spans="1:10" hidden="1" x14ac:dyDescent="0.3">
      <c r="A60" t="s">
        <v>161</v>
      </c>
      <c r="I60" s="35">
        <f>I58-I59</f>
        <v>446.68502266060943</v>
      </c>
    </row>
    <row r="61" spans="1:10" hidden="1" x14ac:dyDescent="0.3">
      <c r="A61" s="17" t="s">
        <v>160</v>
      </c>
      <c r="I61" s="210">
        <f>H57-I59</f>
        <v>0</v>
      </c>
    </row>
    <row r="62" spans="1:10" hidden="1" x14ac:dyDescent="0.3">
      <c r="A62" s="79" t="s">
        <v>162</v>
      </c>
      <c r="J62" s="35">
        <f>J$23</f>
        <v>531.21345421569845</v>
      </c>
    </row>
    <row r="63" spans="1:10" hidden="1" x14ac:dyDescent="0.3">
      <c r="A63" t="s">
        <v>159</v>
      </c>
      <c r="J63" s="35">
        <f>IF(I61&gt;J62,J62,I61)</f>
        <v>0</v>
      </c>
    </row>
    <row r="64" spans="1:10" hidden="1" x14ac:dyDescent="0.3">
      <c r="A64" t="s">
        <v>161</v>
      </c>
      <c r="J64" s="35">
        <f>J62-J63</f>
        <v>531.21345421569845</v>
      </c>
    </row>
    <row r="65" spans="1:11" hidden="1" x14ac:dyDescent="0.3">
      <c r="A65" s="17" t="s">
        <v>160</v>
      </c>
      <c r="J65" s="210">
        <f>I61-J63</f>
        <v>0</v>
      </c>
    </row>
    <row r="66" spans="1:11" x14ac:dyDescent="0.3">
      <c r="A66" s="346" t="s">
        <v>309</v>
      </c>
      <c r="J66" s="210"/>
    </row>
    <row r="67" spans="1:11" x14ac:dyDescent="0.3">
      <c r="A67" s="346"/>
      <c r="J67" s="210"/>
    </row>
    <row r="68" spans="1:11" x14ac:dyDescent="0.3">
      <c r="A68" s="1" t="s">
        <v>308</v>
      </c>
    </row>
    <row r="69" spans="1:11" x14ac:dyDescent="0.3">
      <c r="A69" s="20" t="s">
        <v>288</v>
      </c>
    </row>
    <row r="70" spans="1:11" x14ac:dyDescent="0.3">
      <c r="A70" t="s">
        <v>163</v>
      </c>
      <c r="B70" s="211">
        <f>B33</f>
        <v>333.65423805980038</v>
      </c>
      <c r="C70" s="211">
        <f>C37</f>
        <v>203.59165505980036</v>
      </c>
      <c r="D70" s="211">
        <f>D41</f>
        <v>42.62894212980035</v>
      </c>
      <c r="E70" s="211">
        <f>E45</f>
        <v>0</v>
      </c>
      <c r="F70" s="211">
        <f>F49</f>
        <v>0</v>
      </c>
      <c r="G70" s="211">
        <f>G53</f>
        <v>0</v>
      </c>
      <c r="H70" s="211">
        <f>H57</f>
        <v>0</v>
      </c>
      <c r="I70" s="211">
        <f>I61</f>
        <v>0</v>
      </c>
      <c r="J70" s="211">
        <f t="shared" ref="J70:K70" si="4">J61</f>
        <v>0</v>
      </c>
      <c r="K70" s="211">
        <f t="shared" si="4"/>
        <v>0</v>
      </c>
    </row>
    <row r="71" spans="1:11" x14ac:dyDescent="0.3">
      <c r="A71" t="s">
        <v>164</v>
      </c>
      <c r="B71" s="211">
        <f>B31</f>
        <v>95.438549999999992</v>
      </c>
      <c r="C71" s="211">
        <f>C35</f>
        <v>130.06258300000002</v>
      </c>
      <c r="D71" s="211">
        <f>D39</f>
        <v>160.96271293000001</v>
      </c>
      <c r="E71" s="211">
        <f>E43</f>
        <v>42.62894212980035</v>
      </c>
      <c r="F71" s="211">
        <f>F47</f>
        <v>0</v>
      </c>
      <c r="G71" s="211">
        <f>G51</f>
        <v>0</v>
      </c>
      <c r="H71" s="211">
        <f>H55</f>
        <v>0</v>
      </c>
      <c r="I71" s="211">
        <f>I59</f>
        <v>0</v>
      </c>
      <c r="J71" s="211">
        <f t="shared" ref="J71:K71" si="5">J59</f>
        <v>0</v>
      </c>
      <c r="K71" s="211">
        <f t="shared" si="5"/>
        <v>0</v>
      </c>
    </row>
    <row r="73" spans="1:11" x14ac:dyDescent="0.3">
      <c r="A73" s="1" t="s">
        <v>165</v>
      </c>
    </row>
    <row r="74" spans="1:11" x14ac:dyDescent="0.3">
      <c r="A74" s="20" t="s">
        <v>288</v>
      </c>
    </row>
    <row r="75" spans="1:11" x14ac:dyDescent="0.3">
      <c r="A75" t="s">
        <v>154</v>
      </c>
      <c r="B75" s="35">
        <f>B17</f>
        <v>24.289617</v>
      </c>
      <c r="C75" s="35">
        <f t="shared" ref="C75:K75" si="6">C17</f>
        <v>29.390436569999999</v>
      </c>
      <c r="D75" s="35">
        <f t="shared" si="6"/>
        <v>35.562428249699998</v>
      </c>
      <c r="E75" s="35">
        <f t="shared" si="6"/>
        <v>43.030538182137001</v>
      </c>
      <c r="F75" s="35">
        <f t="shared" si="6"/>
        <v>52.066951200385766</v>
      </c>
      <c r="G75" s="35">
        <f t="shared" si="6"/>
        <v>63.001010952466778</v>
      </c>
      <c r="H75" s="35">
        <f t="shared" si="6"/>
        <v>76.231223252484796</v>
      </c>
      <c r="I75" s="35">
        <f t="shared" si="6"/>
        <v>92.239780135506592</v>
      </c>
      <c r="J75" s="35">
        <f t="shared" si="6"/>
        <v>111.61013396396297</v>
      </c>
      <c r="K75" s="35">
        <f t="shared" si="6"/>
        <v>135.04826209639521</v>
      </c>
    </row>
    <row r="76" spans="1:11" x14ac:dyDescent="0.3">
      <c r="A76" s="26" t="s">
        <v>166</v>
      </c>
      <c r="B76" s="212">
        <f t="shared" ref="B76:K76" si="7">-(B71*$E12)</f>
        <v>-27.677179499999998</v>
      </c>
      <c r="C76" s="212">
        <f t="shared" si="7"/>
        <v>-37.718149070000003</v>
      </c>
      <c r="D76" s="212">
        <f t="shared" si="7"/>
        <v>-46.679186749700001</v>
      </c>
      <c r="E76" s="212">
        <f t="shared" si="7"/>
        <v>-12.362393217642101</v>
      </c>
      <c r="F76" s="212">
        <f t="shared" si="7"/>
        <v>0</v>
      </c>
      <c r="G76" s="212">
        <f t="shared" si="7"/>
        <v>0</v>
      </c>
      <c r="H76" s="212">
        <f t="shared" si="7"/>
        <v>0</v>
      </c>
      <c r="I76" s="212">
        <f t="shared" si="7"/>
        <v>0</v>
      </c>
      <c r="J76" s="212">
        <f t="shared" si="7"/>
        <v>0</v>
      </c>
      <c r="K76" s="212">
        <f t="shared" si="7"/>
        <v>0</v>
      </c>
    </row>
    <row r="77" spans="1:11" x14ac:dyDescent="0.3">
      <c r="A77" t="s">
        <v>165</v>
      </c>
      <c r="B77" s="210">
        <f>B75+B76</f>
        <v>-3.3875624999999978</v>
      </c>
      <c r="C77" s="210">
        <f t="shared" ref="C77:K77" si="8">C75+C76</f>
        <v>-8.3277125000000041</v>
      </c>
      <c r="D77" s="210">
        <f t="shared" si="8"/>
        <v>-11.116758500000003</v>
      </c>
      <c r="E77" s="210">
        <f t="shared" si="8"/>
        <v>30.6681449644949</v>
      </c>
      <c r="F77" s="210">
        <f t="shared" si="8"/>
        <v>52.066951200385766</v>
      </c>
      <c r="G77" s="210">
        <f t="shared" si="8"/>
        <v>63.001010952466778</v>
      </c>
      <c r="H77" s="210">
        <f t="shared" si="8"/>
        <v>76.231223252484796</v>
      </c>
      <c r="I77" s="210">
        <f t="shared" si="8"/>
        <v>92.239780135506592</v>
      </c>
      <c r="J77" s="210">
        <f t="shared" si="8"/>
        <v>111.61013396396297</v>
      </c>
      <c r="K77" s="210">
        <f t="shared" si="8"/>
        <v>135.04826209639521</v>
      </c>
    </row>
  </sheetData>
  <mergeCells count="1">
    <mergeCell ref="B10:E10"/>
  </mergeCells>
  <hyperlinks>
    <hyperlink ref="B1" location="Index!A1" display="Back to Index"/>
  </hyperlinks>
  <pageMargins left="0.7" right="0.7" top="0.75" bottom="0.75" header="0.3" footer="0.3"/>
  <pageSetup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8"/>
  <sheetViews>
    <sheetView topLeftCell="A18" zoomScaleNormal="100" workbookViewId="0">
      <selection activeCell="G9" sqref="G9"/>
    </sheetView>
  </sheetViews>
  <sheetFormatPr defaultRowHeight="14.4" x14ac:dyDescent="0.3"/>
  <cols>
    <col min="1" max="1" width="35.109375" customWidth="1"/>
    <col min="2" max="2" width="31.5546875" customWidth="1"/>
    <col min="3" max="3" width="15.88671875" bestFit="1" customWidth="1"/>
  </cols>
  <sheetData>
    <row r="1" spans="1:2" x14ac:dyDescent="0.3">
      <c r="A1" s="1" t="s">
        <v>239</v>
      </c>
      <c r="B1" s="59" t="s">
        <v>59</v>
      </c>
    </row>
    <row r="3" spans="1:2" x14ac:dyDescent="0.3">
      <c r="A3" s="20" t="s">
        <v>258</v>
      </c>
    </row>
    <row r="5" spans="1:2" x14ac:dyDescent="0.3">
      <c r="A5" s="1" t="s">
        <v>247</v>
      </c>
      <c r="B5" s="303" t="s">
        <v>237</v>
      </c>
    </row>
    <row r="6" spans="1:2" x14ac:dyDescent="0.3">
      <c r="A6" t="s">
        <v>370</v>
      </c>
      <c r="B6" s="302" t="s">
        <v>240</v>
      </c>
    </row>
    <row r="7" spans="1:2" x14ac:dyDescent="0.3">
      <c r="A7" t="s">
        <v>242</v>
      </c>
      <c r="B7" s="293" t="s">
        <v>241</v>
      </c>
    </row>
    <row r="8" spans="1:2" x14ac:dyDescent="0.3">
      <c r="A8" t="s">
        <v>244</v>
      </c>
      <c r="B8" s="293" t="s">
        <v>243</v>
      </c>
    </row>
    <row r="9" spans="1:2" x14ac:dyDescent="0.3">
      <c r="A9" t="s">
        <v>246</v>
      </c>
      <c r="B9" s="293" t="s">
        <v>245</v>
      </c>
    </row>
    <row r="11" spans="1:2" x14ac:dyDescent="0.3">
      <c r="A11" s="1" t="s">
        <v>249</v>
      </c>
    </row>
    <row r="12" spans="1:2" x14ac:dyDescent="0.3">
      <c r="A12" t="s">
        <v>254</v>
      </c>
      <c r="B12" s="304">
        <v>80</v>
      </c>
    </row>
    <row r="13" spans="1:2" x14ac:dyDescent="0.3">
      <c r="A13" t="s">
        <v>371</v>
      </c>
      <c r="B13" s="304">
        <v>50</v>
      </c>
    </row>
    <row r="14" spans="1:2" x14ac:dyDescent="0.3">
      <c r="A14" s="26" t="s">
        <v>252</v>
      </c>
      <c r="B14" s="305">
        <v>60</v>
      </c>
    </row>
    <row r="15" spans="1:2" x14ac:dyDescent="0.3">
      <c r="A15" t="s">
        <v>253</v>
      </c>
      <c r="B15" s="304">
        <f>SUM(B12:B14)</f>
        <v>190</v>
      </c>
    </row>
    <row r="17" spans="1:4" x14ac:dyDescent="0.3">
      <c r="A17" s="1" t="s">
        <v>250</v>
      </c>
    </row>
    <row r="18" spans="1:4" x14ac:dyDescent="0.3">
      <c r="A18" t="s">
        <v>251</v>
      </c>
      <c r="B18" s="306">
        <f>B19/0.3</f>
        <v>71.969696969696969</v>
      </c>
    </row>
    <row r="19" spans="1:4" x14ac:dyDescent="0.3">
      <c r="A19" t="s">
        <v>255</v>
      </c>
      <c r="B19" s="306">
        <f>(B15/8)/1.1</f>
        <v>21.59090909090909</v>
      </c>
    </row>
    <row r="21" spans="1:4" x14ac:dyDescent="0.3">
      <c r="A21" s="237" t="s">
        <v>257</v>
      </c>
      <c r="C21" s="197" t="s">
        <v>248</v>
      </c>
    </row>
    <row r="22" spans="1:4" x14ac:dyDescent="0.3">
      <c r="A22" s="144" t="s">
        <v>237</v>
      </c>
      <c r="B22" s="30" t="s">
        <v>238</v>
      </c>
      <c r="C22" s="308" t="s">
        <v>256</v>
      </c>
    </row>
    <row r="23" spans="1:4" x14ac:dyDescent="0.3">
      <c r="A23" s="294" t="s">
        <v>229</v>
      </c>
      <c r="B23" s="197" t="s">
        <v>230</v>
      </c>
      <c r="C23" s="300">
        <v>45</v>
      </c>
    </row>
    <row r="24" spans="1:4" x14ac:dyDescent="0.3">
      <c r="A24" s="295" t="s">
        <v>231</v>
      </c>
      <c r="B24" s="298" t="s">
        <v>232</v>
      </c>
      <c r="C24" s="300">
        <v>40</v>
      </c>
      <c r="D24" s="236"/>
    </row>
    <row r="25" spans="1:4" x14ac:dyDescent="0.3">
      <c r="A25" s="296" t="s">
        <v>233</v>
      </c>
      <c r="B25" s="298" t="s">
        <v>234</v>
      </c>
      <c r="C25" s="300">
        <v>14</v>
      </c>
      <c r="D25" s="236"/>
    </row>
    <row r="26" spans="1:4" x14ac:dyDescent="0.3">
      <c r="A26" s="297" t="s">
        <v>235</v>
      </c>
      <c r="B26" s="299" t="s">
        <v>236</v>
      </c>
      <c r="C26" s="301">
        <v>170</v>
      </c>
    </row>
    <row r="27" spans="1:4" s="3" customFormat="1" x14ac:dyDescent="0.3">
      <c r="A27" s="20" t="s">
        <v>369</v>
      </c>
      <c r="B27" s="20"/>
      <c r="C27" s="20"/>
    </row>
    <row r="28" spans="1:4" s="3" customFormat="1" x14ac:dyDescent="0.3">
      <c r="A28" s="20" t="s">
        <v>312</v>
      </c>
      <c r="B28" s="20"/>
      <c r="C28" s="20"/>
    </row>
  </sheetData>
  <hyperlinks>
    <hyperlink ref="B1" location="Index!A1" display="Back to Index"/>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0"/>
  <sheetViews>
    <sheetView topLeftCell="A7" zoomScale="90" zoomScaleNormal="90" workbookViewId="0">
      <selection activeCell="B1" sqref="B1"/>
    </sheetView>
  </sheetViews>
  <sheetFormatPr defaultRowHeight="14.4" x14ac:dyDescent="0.3"/>
  <cols>
    <col min="1" max="1" width="55.6640625" customWidth="1"/>
    <col min="2" max="2" width="9.88671875" customWidth="1"/>
    <col min="15" max="15" width="10.88671875" customWidth="1"/>
  </cols>
  <sheetData>
    <row r="1" spans="1:15" x14ac:dyDescent="0.3">
      <c r="A1" s="1" t="s">
        <v>110</v>
      </c>
      <c r="B1" s="59" t="s">
        <v>59</v>
      </c>
    </row>
    <row r="3" spans="1:15" x14ac:dyDescent="0.3">
      <c r="A3" s="1" t="s">
        <v>259</v>
      </c>
      <c r="B3" s="27" t="s">
        <v>34</v>
      </c>
      <c r="C3" s="27" t="s">
        <v>35</v>
      </c>
      <c r="D3" s="27" t="s">
        <v>36</v>
      </c>
      <c r="E3" s="27" t="s">
        <v>37</v>
      </c>
      <c r="G3" s="383" t="s">
        <v>348</v>
      </c>
      <c r="H3" s="384"/>
      <c r="I3" s="384"/>
      <c r="J3" s="384"/>
      <c r="K3" s="384"/>
      <c r="L3" s="384"/>
      <c r="M3" s="384"/>
      <c r="N3" s="384"/>
      <c r="O3" s="385"/>
    </row>
    <row r="4" spans="1:15" x14ac:dyDescent="0.3">
      <c r="A4" t="s">
        <v>217</v>
      </c>
      <c r="B4" s="5">
        <f>'13'!B17/'13'!B13</f>
        <v>0.20191062251878591</v>
      </c>
      <c r="C4" s="5">
        <f>'13'!C17/'13'!C13</f>
        <v>0.20593834363127619</v>
      </c>
      <c r="D4" s="5">
        <f>'13'!D17/'13'!D13</f>
        <v>0.1972118577293227</v>
      </c>
      <c r="E4" s="5">
        <f>'13'!E17/'13'!E13</f>
        <v>0.19374611963237015</v>
      </c>
      <c r="G4" s="369" t="s">
        <v>372</v>
      </c>
      <c r="H4" s="79"/>
      <c r="I4" s="79"/>
      <c r="J4" s="79"/>
      <c r="K4" s="79"/>
      <c r="L4" s="79"/>
      <c r="M4" s="79"/>
      <c r="N4" s="79"/>
      <c r="O4" s="370"/>
    </row>
    <row r="5" spans="1:15" x14ac:dyDescent="0.3">
      <c r="A5" t="s">
        <v>207</v>
      </c>
      <c r="B5" s="5">
        <f>'17'!G9/'17'!G25</f>
        <v>0.65335901955158426</v>
      </c>
      <c r="C5" s="5">
        <f>'17'!H9/'17'!H25</f>
        <v>0.81985459223925528</v>
      </c>
      <c r="D5" s="5">
        <f>'17'!I9/'17'!I25</f>
        <v>0.76452314614777184</v>
      </c>
      <c r="E5" s="5">
        <f>'17'!J9/'17'!J25</f>
        <v>1.0052709520343366</v>
      </c>
      <c r="G5" s="71" t="s">
        <v>209</v>
      </c>
      <c r="H5" s="22"/>
      <c r="I5" s="22"/>
      <c r="J5" s="22"/>
      <c r="K5" s="22"/>
      <c r="L5" s="22"/>
      <c r="M5" s="22"/>
      <c r="N5" s="22"/>
      <c r="O5" s="276"/>
    </row>
    <row r="6" spans="1:15" x14ac:dyDescent="0.3">
      <c r="A6" t="s">
        <v>208</v>
      </c>
      <c r="B6" s="5">
        <f>'13'!B13/'17'!B17</f>
        <v>0.55146920408978972</v>
      </c>
      <c r="C6" s="5">
        <f>'13'!C13/'17'!C17</f>
        <v>0.58724265458794611</v>
      </c>
      <c r="D6" s="5">
        <f>'13'!D13/'17'!D17</f>
        <v>0.6393149895527479</v>
      </c>
      <c r="E6" s="5">
        <f>'13'!E13/'17'!E17</f>
        <v>0.73896406941302784</v>
      </c>
      <c r="G6" s="71" t="s">
        <v>210</v>
      </c>
      <c r="H6" s="22"/>
      <c r="I6" s="22"/>
      <c r="J6" s="22"/>
      <c r="K6" s="22"/>
      <c r="L6" s="22"/>
      <c r="M6" s="22"/>
      <c r="N6" s="22"/>
      <c r="O6" s="276"/>
    </row>
    <row r="7" spans="1:15" x14ac:dyDescent="0.3">
      <c r="A7" t="s">
        <v>211</v>
      </c>
      <c r="B7" s="5">
        <f>'17'!B34/'17'!B17</f>
        <v>0.15641253755205714</v>
      </c>
      <c r="C7" s="5">
        <f>'17'!C34/'17'!C17</f>
        <v>0.5799424172700004</v>
      </c>
      <c r="D7" s="5">
        <f>'17'!D34/'17'!D17</f>
        <v>0.58426208686311953</v>
      </c>
      <c r="E7" s="5">
        <f>'17'!E34/'17'!E17</f>
        <v>0.60013613347097106</v>
      </c>
      <c r="G7" s="71" t="s">
        <v>212</v>
      </c>
      <c r="H7" s="22"/>
      <c r="I7" s="22"/>
      <c r="J7" s="22"/>
      <c r="K7" s="22"/>
      <c r="L7" s="22"/>
      <c r="M7" s="22"/>
      <c r="N7" s="22"/>
      <c r="O7" s="276"/>
    </row>
    <row r="8" spans="1:15" x14ac:dyDescent="0.3">
      <c r="A8" t="s">
        <v>215</v>
      </c>
      <c r="B8" s="5">
        <f>'17'!G15/'17'!G17</f>
        <v>0.76942714578578886</v>
      </c>
      <c r="C8" s="5">
        <f>'17'!H15/'17'!H17</f>
        <v>0.74958017612123695</v>
      </c>
      <c r="D8" s="5">
        <f>'17'!I15/'17'!I17</f>
        <v>0.71725972300081142</v>
      </c>
      <c r="E8" s="5">
        <f>'17'!J15/'17'!J17</f>
        <v>0.68902527306606798</v>
      </c>
      <c r="G8" s="71" t="s">
        <v>216</v>
      </c>
      <c r="H8" s="22"/>
      <c r="I8" s="22"/>
      <c r="J8" s="22"/>
      <c r="K8" s="22"/>
      <c r="L8" s="22"/>
      <c r="M8" s="22"/>
      <c r="N8" s="22"/>
      <c r="O8" s="276"/>
    </row>
    <row r="9" spans="1:15" x14ac:dyDescent="0.3">
      <c r="A9" t="s">
        <v>213</v>
      </c>
      <c r="B9" s="5">
        <f>'17'!B34/'17'!B42</f>
        <v>0.32598484441339282</v>
      </c>
      <c r="C9" s="5">
        <f>'17'!C34/'17'!C42</f>
        <v>1.3806259929909894</v>
      </c>
      <c r="D9" s="5">
        <f>'17'!D34/'17'!D42</f>
        <v>1.4053615713194598</v>
      </c>
      <c r="E9" s="5">
        <f>'17'!E34/'17'!E42</f>
        <v>1.500851123859682</v>
      </c>
      <c r="G9" s="71" t="s">
        <v>349</v>
      </c>
      <c r="H9" s="22"/>
      <c r="I9" s="22"/>
      <c r="J9" s="22"/>
      <c r="K9" s="22"/>
      <c r="L9" s="22"/>
      <c r="M9" s="22"/>
      <c r="N9" s="22"/>
      <c r="O9" s="276"/>
    </row>
    <row r="10" spans="1:15" x14ac:dyDescent="0.3">
      <c r="A10" t="s">
        <v>219</v>
      </c>
      <c r="B10" s="15">
        <f>-'17'!B48/'13'!B13</f>
        <v>7.6967319283446417E-3</v>
      </c>
      <c r="C10" s="15">
        <f>-'17'!C48/'13'!C13</f>
        <v>1.177493866364703E-3</v>
      </c>
      <c r="D10" s="15">
        <f>-'17'!D48/'13'!D13</f>
        <v>6.3801672149543026E-3</v>
      </c>
      <c r="E10" s="15">
        <f>-'17'!E48/'13'!E13</f>
        <v>5.8208058951053937E-2</v>
      </c>
      <c r="G10" s="71" t="s">
        <v>220</v>
      </c>
      <c r="H10" s="22"/>
      <c r="I10" s="22"/>
      <c r="J10" s="22"/>
      <c r="K10" s="22"/>
      <c r="L10" s="22"/>
      <c r="M10" s="22"/>
      <c r="N10" s="22"/>
      <c r="O10" s="276"/>
    </row>
    <row r="11" spans="1:15" x14ac:dyDescent="0.3">
      <c r="A11" t="s">
        <v>222</v>
      </c>
      <c r="B11" s="5">
        <f>'17'!B52/'13'!B13</f>
        <v>0.18019985317291462</v>
      </c>
      <c r="C11" s="5">
        <f>'17'!C52/'13'!C13</f>
        <v>0.24020464597231453</v>
      </c>
      <c r="D11" s="5">
        <f>'17'!D52/'13'!D13</f>
        <v>2.7593226782599099E-2</v>
      </c>
      <c r="E11" s="5">
        <f>'17'!E52/'13'!E13</f>
        <v>8.6917690405186709E-2</v>
      </c>
      <c r="G11" s="72" t="s">
        <v>223</v>
      </c>
      <c r="H11" s="17"/>
      <c r="I11" s="17"/>
      <c r="J11" s="17"/>
      <c r="K11" s="17"/>
      <c r="L11" s="17"/>
      <c r="M11" s="17"/>
      <c r="N11" s="17"/>
      <c r="O11" s="366"/>
    </row>
    <row r="12" spans="1:15" x14ac:dyDescent="0.3">
      <c r="B12" s="225"/>
      <c r="C12" s="225"/>
      <c r="D12" s="225"/>
      <c r="E12" s="225"/>
    </row>
    <row r="14" spans="1:15" x14ac:dyDescent="0.3">
      <c r="A14" s="1" t="s">
        <v>345</v>
      </c>
      <c r="B14" s="29">
        <v>2011</v>
      </c>
      <c r="C14" s="29">
        <v>2012</v>
      </c>
      <c r="D14" s="29">
        <v>2013</v>
      </c>
      <c r="E14" s="29">
        <v>2014</v>
      </c>
      <c r="F14" s="29">
        <v>2015</v>
      </c>
      <c r="G14" s="29">
        <v>2016</v>
      </c>
      <c r="H14" s="29">
        <v>2017</v>
      </c>
      <c r="I14" s="29">
        <v>2018</v>
      </c>
      <c r="J14" s="29">
        <v>2019</v>
      </c>
      <c r="K14" s="29">
        <v>2020</v>
      </c>
    </row>
    <row r="15" spans="1:15" x14ac:dyDescent="0.3">
      <c r="A15" t="s">
        <v>343</v>
      </c>
      <c r="B15" s="15">
        <f>'10'!B18/('4'!$B21*1000)</f>
        <v>6.6531396838957714E-3</v>
      </c>
      <c r="C15" s="15">
        <f>'10'!C18/('4'!$B21*1000)</f>
        <v>9.8133276377616405E-3</v>
      </c>
      <c r="D15" s="15">
        <f>'10'!D18/('4'!$B21*1000)</f>
        <v>1.3099923109782146E-2</v>
      </c>
      <c r="E15" s="15">
        <f>'10'!E18/('4'!$B21*1000)</f>
        <v>1.651798240068347E-2</v>
      </c>
      <c r="F15" s="15">
        <f>'10'!F18/('4'!$B21*1000)</f>
        <v>2.0072764063220842E-2</v>
      </c>
      <c r="G15" s="15">
        <f>'10'!G18/('4'!$B21*1000)</f>
        <v>2.3458407695856474E-2</v>
      </c>
      <c r="H15" s="15">
        <f>'10'!H18/('4'!$B21*1000)</f>
        <v>2.7311045273096971E-2</v>
      </c>
      <c r="I15" s="15">
        <f>'10'!I18/('4'!$B21*1000)</f>
        <v>3.1394841104971892E-2</v>
      </c>
      <c r="J15" s="15">
        <f>'10'!J18/('4'!$B21*1000)</f>
        <v>3.5723664686759318E-2</v>
      </c>
      <c r="K15" s="15">
        <f>'10'!K18/('4'!$B21*1000)</f>
        <v>4.0312217683453992E-2</v>
      </c>
    </row>
    <row r="16" spans="1:15" x14ac:dyDescent="0.3">
      <c r="A16" t="s">
        <v>344</v>
      </c>
      <c r="B16" s="15">
        <f>'8'!B34</f>
        <v>2.4437500000000001E-2</v>
      </c>
      <c r="C16" s="15">
        <f>'8'!C34</f>
        <v>4.9852500000000001E-2</v>
      </c>
      <c r="D16" s="15">
        <f>'8'!D34</f>
        <v>7.6284099999999994E-2</v>
      </c>
      <c r="E16" s="15">
        <f>'8'!E34</f>
        <v>0.103772964</v>
      </c>
      <c r="F16" s="15">
        <f>'8'!F34</f>
        <v>0.13236138256000002</v>
      </c>
      <c r="G16" s="15">
        <f>'8'!G34</f>
        <v>0.16094980112000001</v>
      </c>
      <c r="H16" s="15">
        <f>'8'!H34</f>
        <v>0.19125352479360003</v>
      </c>
      <c r="I16" s="15">
        <f>'8'!I34</f>
        <v>0.22337547188761603</v>
      </c>
      <c r="J16" s="15">
        <f>'8'!J34</f>
        <v>0.25742473580727299</v>
      </c>
      <c r="K16" s="15">
        <f>'8'!K34</f>
        <v>0.29351695556210938</v>
      </c>
    </row>
    <row r="18" spans="1:11" x14ac:dyDescent="0.3">
      <c r="A18" s="1" t="s">
        <v>346</v>
      </c>
    </row>
    <row r="19" spans="1:11" x14ac:dyDescent="0.3">
      <c r="A19" t="str">
        <f>'10'!A21</f>
        <v>Initial Fees from Sales in Current Year</v>
      </c>
      <c r="B19" s="5">
        <f>'10'!B21</f>
        <v>0.565008025682183</v>
      </c>
      <c r="C19" s="5">
        <f>'10'!C21</f>
        <v>0.39838070778740259</v>
      </c>
      <c r="D19" s="5">
        <f>'10'!D21</f>
        <v>0.31036960999017832</v>
      </c>
      <c r="E19" s="5">
        <f>'10'!E21</f>
        <v>0.25599075268229021</v>
      </c>
      <c r="F19" s="5">
        <f>'10'!F21</f>
        <v>0.21908237269142222</v>
      </c>
      <c r="G19" s="5">
        <f>'10'!G21</f>
        <v>0.18746322574239743</v>
      </c>
      <c r="H19" s="5">
        <f>'10'!H21</f>
        <v>0.1706798131481285</v>
      </c>
      <c r="I19" s="5">
        <f>'10'!I21</f>
        <v>0.15738670993162934</v>
      </c>
      <c r="J19" s="5">
        <f>'10'!J21</f>
        <v>0.14661425811947415</v>
      </c>
      <c r="K19" s="5">
        <f>'10'!K21</f>
        <v>0.13772138647083904</v>
      </c>
    </row>
    <row r="20" spans="1:11" x14ac:dyDescent="0.3">
      <c r="A20" t="str">
        <f>'10'!A22</f>
        <v>Annual Fees from Sales in Current Year</v>
      </c>
      <c r="B20" s="5">
        <f>'10'!B22</f>
        <v>0.434991974317817</v>
      </c>
      <c r="C20" s="5">
        <f>'10'!C22</f>
        <v>0.30670787446132414</v>
      </c>
      <c r="D20" s="5">
        <f>'10'!D22</f>
        <v>0.23894933041857483</v>
      </c>
      <c r="E20" s="5">
        <f>'10'!E22</f>
        <v>0.19708378970710413</v>
      </c>
      <c r="F20" s="5">
        <f>'10'!F22</f>
        <v>0.16866853124822564</v>
      </c>
      <c r="G20" s="5">
        <f>'10'!G22</f>
        <v>0.14432538118235713</v>
      </c>
      <c r="H20" s="5">
        <f>'10'!H22</f>
        <v>0.1314040606907467</v>
      </c>
      <c r="I20" s="5">
        <f>'10'!I22</f>
        <v>0.12116988179395327</v>
      </c>
      <c r="J20" s="5">
        <f>'10'!J22</f>
        <v>0.11287631804084516</v>
      </c>
      <c r="K20" s="5">
        <f>'10'!K22</f>
        <v>0.10602981742499255</v>
      </c>
    </row>
    <row r="21" spans="1:11" x14ac:dyDescent="0.3">
      <c r="A21" t="str">
        <f>'10'!A23</f>
        <v>Annual fees from Sales in Prior Years</v>
      </c>
      <c r="B21" s="5">
        <f>'10'!B23</f>
        <v>0</v>
      </c>
      <c r="C21" s="5">
        <f>'10'!C23</f>
        <v>0.29491141775127322</v>
      </c>
      <c r="D21" s="5">
        <f>'10'!D23</f>
        <v>0.45068105959124682</v>
      </c>
      <c r="E21" s="5">
        <f>'10'!E23</f>
        <v>0.54692545761060563</v>
      </c>
      <c r="F21" s="5">
        <f>'10'!F23</f>
        <v>0.61224909606035216</v>
      </c>
      <c r="G21" s="5">
        <f>'10'!G23</f>
        <v>0.66821139307524535</v>
      </c>
      <c r="H21" s="5">
        <f>'10'!H23</f>
        <v>0.69791612616112475</v>
      </c>
      <c r="I21" s="5">
        <f>'10'!I23</f>
        <v>0.72144340827441733</v>
      </c>
      <c r="J21" s="5">
        <f>'10'!J23</f>
        <v>0.74050942383968077</v>
      </c>
      <c r="K21" s="5">
        <f>'10'!K23</f>
        <v>0.7562487961041684</v>
      </c>
    </row>
    <row r="23" spans="1:11" x14ac:dyDescent="0.3">
      <c r="A23" s="1" t="s">
        <v>347</v>
      </c>
    </row>
    <row r="24" spans="1:11" x14ac:dyDescent="0.3">
      <c r="A24" s="365" t="s">
        <v>0</v>
      </c>
      <c r="B24" s="5">
        <f>'10'!B18/'14'!B15</f>
        <v>0.17866272082326448</v>
      </c>
      <c r="C24" s="5">
        <f>'10'!C18/'14'!C15</f>
        <v>0.21600498305254082</v>
      </c>
      <c r="D24" s="5">
        <f>'10'!D18/'14'!D15</f>
        <v>0.23635042472787465</v>
      </c>
      <c r="E24" s="5">
        <f>'10'!E18/'14'!E15</f>
        <v>0.24427825496378119</v>
      </c>
      <c r="F24" s="5">
        <f>'10'!F18/'14'!F15</f>
        <v>0.24331851601509602</v>
      </c>
      <c r="G24" s="5">
        <f>'10'!G18/'14'!G15</f>
        <v>0.233080895685951</v>
      </c>
      <c r="H24" s="5">
        <f>'10'!H18/'14'!H15</f>
        <v>0.22242655733030825</v>
      </c>
      <c r="I24" s="5">
        <f>'10'!I18/'14'!I15</f>
        <v>0.20957852355242046</v>
      </c>
      <c r="J24" s="5">
        <f>'10'!J18/'14'!J15</f>
        <v>0.19547204691065334</v>
      </c>
      <c r="K24" s="5">
        <f>'10'!K18/'14'!K15</f>
        <v>0.18080295171344279</v>
      </c>
    </row>
    <row r="25" spans="1:11" x14ac:dyDescent="0.3">
      <c r="A25" t="s">
        <v>18</v>
      </c>
      <c r="B25" s="5">
        <f>'12'!B11/'14'!B16</f>
        <v>0.13946545554835219</v>
      </c>
      <c r="C25" s="5">
        <f>'12'!C11/'14'!C16</f>
        <v>0.28334769645784819</v>
      </c>
      <c r="D25" s="5">
        <f>'12'!D11/'14'!D16</f>
        <v>0.31259840925215171</v>
      </c>
      <c r="E25" s="5">
        <f>'12'!E11/'14'!E16</f>
        <v>0.32575391645505708</v>
      </c>
      <c r="F25" s="5">
        <f>'12'!F11/'14'!F16</f>
        <v>0.3925868083508709</v>
      </c>
      <c r="G25" s="5">
        <f>'12'!G11/'14'!G16</f>
        <v>0.37917673446515787</v>
      </c>
      <c r="H25" s="5">
        <f>'12'!H11/'14'!H16</f>
        <v>0.36483467143199311</v>
      </c>
      <c r="I25" s="5">
        <f>'12'!I11/'14'!I16</f>
        <v>0.40436866156093954</v>
      </c>
      <c r="J25" s="5">
        <f>'12'!J11/'14'!J16</f>
        <v>0.38026804781269485</v>
      </c>
      <c r="K25" s="5">
        <f>'12'!K11/'14'!K16</f>
        <v>0.35463790364273423</v>
      </c>
    </row>
    <row r="38" spans="7:7" x14ac:dyDescent="0.3">
      <c r="G38" s="22"/>
    </row>
    <row r="39" spans="7:7" x14ac:dyDescent="0.3">
      <c r="G39" s="22"/>
    </row>
    <row r="40" spans="7:7" x14ac:dyDescent="0.3">
      <c r="G40" s="213"/>
    </row>
  </sheetData>
  <mergeCells count="1">
    <mergeCell ref="G3:O3"/>
  </mergeCells>
  <hyperlinks>
    <hyperlink ref="B1" location="Index!A1" display="Back to 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3"/>
  <sheetViews>
    <sheetView zoomScale="90" zoomScaleNormal="90" workbookViewId="0">
      <selection activeCell="C1" sqref="C1"/>
    </sheetView>
  </sheetViews>
  <sheetFormatPr defaultRowHeight="14.4" x14ac:dyDescent="0.3"/>
  <sheetData>
    <row r="1" spans="1:3" x14ac:dyDescent="0.3">
      <c r="A1" s="1" t="s">
        <v>135</v>
      </c>
      <c r="C1" s="59" t="s">
        <v>59</v>
      </c>
    </row>
    <row r="2" spans="1:3" x14ac:dyDescent="0.3">
      <c r="A2" s="20" t="s">
        <v>353</v>
      </c>
    </row>
    <row r="3" spans="1:3" x14ac:dyDescent="0.3">
      <c r="A3" s="20"/>
    </row>
  </sheetData>
  <hyperlinks>
    <hyperlink ref="C1" location="Index!A1" display="Back to Index"/>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8"/>
  <sheetViews>
    <sheetView zoomScale="90" zoomScaleNormal="90" workbookViewId="0">
      <selection activeCell="I23" sqref="I23"/>
    </sheetView>
  </sheetViews>
  <sheetFormatPr defaultRowHeight="14.4" x14ac:dyDescent="0.3"/>
  <cols>
    <col min="1" max="1" width="5" customWidth="1"/>
    <col min="2" max="2" width="26" customWidth="1"/>
    <col min="3" max="5" width="9.6640625" customWidth="1"/>
    <col min="6" max="6" width="34" customWidth="1"/>
    <col min="7" max="13" width="9.6640625" customWidth="1"/>
  </cols>
  <sheetData>
    <row r="1" spans="1:10" x14ac:dyDescent="0.3">
      <c r="A1" s="1" t="s">
        <v>313</v>
      </c>
      <c r="B1" s="1"/>
      <c r="I1" s="216"/>
      <c r="J1" s="216"/>
    </row>
    <row r="2" spans="1:10" x14ac:dyDescent="0.3">
      <c r="I2" s="216"/>
      <c r="J2" s="216"/>
    </row>
    <row r="3" spans="1:10" x14ac:dyDescent="0.3">
      <c r="A3" s="1" t="s">
        <v>281</v>
      </c>
      <c r="B3" s="1"/>
      <c r="C3" s="216"/>
      <c r="D3" s="216"/>
      <c r="F3" s="1" t="s">
        <v>319</v>
      </c>
      <c r="G3" s="356">
        <v>2011</v>
      </c>
      <c r="H3" s="357" t="s">
        <v>375</v>
      </c>
      <c r="I3" s="357" t="s">
        <v>376</v>
      </c>
      <c r="J3" s="357" t="s">
        <v>320</v>
      </c>
    </row>
    <row r="4" spans="1:10" x14ac:dyDescent="0.3">
      <c r="A4" t="str">
        <f>'1'!A6</f>
        <v>Number of Type I Facilities</v>
      </c>
      <c r="C4" s="358">
        <f>'1'!E6</f>
        <v>25000</v>
      </c>
      <c r="D4" s="216"/>
      <c r="F4" t="str">
        <f>'7'!A5</f>
        <v xml:space="preserve">IBA </v>
      </c>
      <c r="G4" s="359">
        <f>'7'!E5</f>
        <v>1E-3</v>
      </c>
      <c r="H4" s="361">
        <f>'7'!J5</f>
        <v>0.04</v>
      </c>
      <c r="I4" s="361">
        <f>'7'!O5</f>
        <v>0.05</v>
      </c>
      <c r="J4" s="361">
        <f>'7'!T5</f>
        <v>0.06</v>
      </c>
    </row>
    <row r="5" spans="1:10" x14ac:dyDescent="0.3">
      <c r="A5" t="str">
        <f>'1'!A8</f>
        <v>Current Spending on Losses</v>
      </c>
      <c r="C5" s="358">
        <f>'1'!E15</f>
        <v>167100</v>
      </c>
      <c r="D5" s="216"/>
      <c r="F5" t="str">
        <f>'7'!A6</f>
        <v>POISON™</v>
      </c>
      <c r="G5" s="362">
        <f>'7'!E6</f>
        <v>0.01</v>
      </c>
      <c r="H5" s="361">
        <f>'7'!J6</f>
        <v>0.04</v>
      </c>
      <c r="I5" s="361">
        <f>'7'!O6</f>
        <v>0.05</v>
      </c>
      <c r="J5" s="361">
        <f>'7'!T6</f>
        <v>0.06</v>
      </c>
    </row>
    <row r="6" spans="1:10" x14ac:dyDescent="0.3">
      <c r="A6" t="str">
        <f>'1'!A17</f>
        <v>Current Spending on Review</v>
      </c>
      <c r="C6" s="358">
        <f>'1'!E22</f>
        <v>86000</v>
      </c>
      <c r="D6" s="216"/>
      <c r="F6" t="str">
        <f>'7'!A7</f>
        <v>Food MapperTQ™</v>
      </c>
      <c r="G6" s="362">
        <f>'7'!E7</f>
        <v>0.03</v>
      </c>
      <c r="H6" s="361">
        <f>'7'!J7</f>
        <v>0.04</v>
      </c>
      <c r="I6" s="361">
        <f>'7'!O7</f>
        <v>0.05</v>
      </c>
      <c r="J6" s="361">
        <f>'7'!T7</f>
        <v>0.06</v>
      </c>
    </row>
    <row r="7" spans="1:10" x14ac:dyDescent="0.3">
      <c r="A7" t="str">
        <f>'1'!G6</f>
        <v>Number of Type II Facilities</v>
      </c>
      <c r="C7" s="358">
        <f>'1'!K6</f>
        <v>75000</v>
      </c>
      <c r="D7" s="216"/>
      <c r="F7" t="str">
        <f>'7'!A8</f>
        <v>Food SafetyTQ™</v>
      </c>
      <c r="G7" s="362">
        <f>'7'!E8</f>
        <v>0.03</v>
      </c>
      <c r="H7" s="361">
        <f>'7'!J8</f>
        <v>0.04</v>
      </c>
      <c r="I7" s="361">
        <f>'7'!O8</f>
        <v>0.05</v>
      </c>
      <c r="J7" s="361">
        <f>'7'!T8</f>
        <v>0.06</v>
      </c>
    </row>
    <row r="8" spans="1:10" x14ac:dyDescent="0.3">
      <c r="A8" t="str">
        <f>'1'!G8</f>
        <v>Current Spending on Losses</v>
      </c>
      <c r="C8" s="358">
        <f>'1'!K15</f>
        <v>29700</v>
      </c>
      <c r="D8" s="216"/>
      <c r="F8" t="str">
        <f>'7'!A9</f>
        <v>Food DefenseTQ™</v>
      </c>
      <c r="G8" s="362">
        <f>'7'!E9</f>
        <v>0.03</v>
      </c>
      <c r="H8" s="361">
        <f>'7'!J9</f>
        <v>0.04</v>
      </c>
      <c r="I8" s="361">
        <f>'7'!O9</f>
        <v>0.05</v>
      </c>
      <c r="J8" s="361">
        <f>'7'!T9</f>
        <v>0.06</v>
      </c>
    </row>
    <row r="9" spans="1:10" x14ac:dyDescent="0.3">
      <c r="A9" t="str">
        <f>'1'!G17</f>
        <v>Current Spending on Review</v>
      </c>
      <c r="C9" s="358">
        <f>'1'!K22</f>
        <v>42000</v>
      </c>
      <c r="D9" s="216"/>
      <c r="F9" t="str">
        <f>'7'!A10</f>
        <v>FEAST™</v>
      </c>
      <c r="G9" s="362">
        <f>'7'!E10</f>
        <v>0.01</v>
      </c>
      <c r="H9" s="361">
        <f>'7'!J10</f>
        <v>0.04</v>
      </c>
      <c r="I9" s="361">
        <f>'7'!O10</f>
        <v>0.05</v>
      </c>
      <c r="J9" s="361">
        <f>'7'!T10</f>
        <v>0.06</v>
      </c>
    </row>
    <row r="10" spans="1:10" x14ac:dyDescent="0.3">
      <c r="A10" t="str">
        <f>'4'!A1</f>
        <v>Forecasted Food Industry Growth</v>
      </c>
      <c r="C10" s="359">
        <f>'4'!E16</f>
        <v>7.6316922514810814E-2</v>
      </c>
      <c r="D10" s="216"/>
      <c r="F10" t="str">
        <f>'7'!A11</f>
        <v>FREE™</v>
      </c>
      <c r="G10" s="362">
        <f>'7'!E11</f>
        <v>0.01</v>
      </c>
      <c r="H10" s="361">
        <f>'7'!J11</f>
        <v>0.04</v>
      </c>
      <c r="I10" s="361">
        <f>'7'!O11</f>
        <v>0.05</v>
      </c>
      <c r="J10" s="361">
        <f>'7'!T11</f>
        <v>0.06</v>
      </c>
    </row>
    <row r="11" spans="1:10" x14ac:dyDescent="0.3">
      <c r="C11" s="216"/>
      <c r="D11" s="216"/>
      <c r="G11" s="216"/>
      <c r="H11" s="216"/>
      <c r="I11" s="216"/>
      <c r="J11" s="216"/>
    </row>
    <row r="12" spans="1:10" x14ac:dyDescent="0.3">
      <c r="A12" s="1" t="s">
        <v>374</v>
      </c>
      <c r="B12" s="1"/>
      <c r="C12" s="356" t="s">
        <v>329</v>
      </c>
      <c r="D12" s="356" t="s">
        <v>330</v>
      </c>
      <c r="F12" s="1" t="s">
        <v>18</v>
      </c>
      <c r="G12" s="356">
        <v>2011</v>
      </c>
      <c r="H12" s="357" t="s">
        <v>375</v>
      </c>
      <c r="I12" s="357" t="s">
        <v>376</v>
      </c>
      <c r="J12" s="357" t="s">
        <v>320</v>
      </c>
    </row>
    <row r="13" spans="1:10" x14ac:dyDescent="0.3">
      <c r="A13" t="str">
        <f>'5'!A5</f>
        <v xml:space="preserve">IBA </v>
      </c>
      <c r="C13" s="360">
        <f>'5'!F5</f>
        <v>80000</v>
      </c>
      <c r="D13" s="360">
        <f>'5'!F21</f>
        <v>50000</v>
      </c>
      <c r="F13" t="str">
        <f>'11'!A5</f>
        <v xml:space="preserve">IBA </v>
      </c>
      <c r="G13" s="361">
        <f>'11'!E5</f>
        <v>0.15</v>
      </c>
      <c r="H13" s="361">
        <f>'11'!J5</f>
        <v>0.25</v>
      </c>
      <c r="I13" s="361">
        <f>'11'!O5</f>
        <v>0.3</v>
      </c>
      <c r="J13" s="361">
        <f>'11'!T5</f>
        <v>0.35</v>
      </c>
    </row>
    <row r="14" spans="1:10" x14ac:dyDescent="0.3">
      <c r="A14" t="str">
        <f>'5'!A6</f>
        <v>POISON™</v>
      </c>
      <c r="C14" s="360">
        <f>'5'!F6</f>
        <v>15000</v>
      </c>
      <c r="D14" s="360">
        <f>'5'!F22</f>
        <v>10000</v>
      </c>
      <c r="F14" t="str">
        <f>'11'!A6</f>
        <v>POISON™</v>
      </c>
      <c r="G14" s="361">
        <f>'11'!E6</f>
        <v>0.15</v>
      </c>
      <c r="H14" s="361">
        <f>'11'!J6</f>
        <v>0.25</v>
      </c>
      <c r="I14" s="361">
        <f>'11'!O6</f>
        <v>0.3</v>
      </c>
      <c r="J14" s="361">
        <f>'11'!T6</f>
        <v>0.35</v>
      </c>
    </row>
    <row r="15" spans="1:10" x14ac:dyDescent="0.3">
      <c r="A15" t="str">
        <f>'5'!A7</f>
        <v>Food MapperTQ™</v>
      </c>
      <c r="C15" s="216"/>
      <c r="D15" s="216"/>
      <c r="F15" t="str">
        <f>'11'!A7</f>
        <v>Food MapperTQ™</v>
      </c>
      <c r="G15" s="361">
        <f>'11'!E7</f>
        <v>0.15</v>
      </c>
      <c r="H15" s="361">
        <f>'11'!J7</f>
        <v>0.25</v>
      </c>
      <c r="I15" s="361">
        <f>'11'!O7</f>
        <v>0.3</v>
      </c>
      <c r="J15" s="361">
        <f>'11'!T7</f>
        <v>0.35</v>
      </c>
    </row>
    <row r="16" spans="1:10" x14ac:dyDescent="0.3">
      <c r="B16" t="str">
        <f>'5'!B8</f>
        <v>Category I</v>
      </c>
      <c r="C16" s="360">
        <f>'5'!F8</f>
        <v>2500</v>
      </c>
      <c r="D16" s="360">
        <f>'5'!F24</f>
        <v>2000</v>
      </c>
      <c r="F16" t="str">
        <f>'11'!A8</f>
        <v>Food SafetyTQ™</v>
      </c>
      <c r="G16" s="361">
        <f>'11'!E8</f>
        <v>0.15</v>
      </c>
      <c r="H16" s="361">
        <f>'11'!J8</f>
        <v>0.25</v>
      </c>
      <c r="I16" s="361">
        <f>'11'!O8</f>
        <v>0.3</v>
      </c>
      <c r="J16" s="361">
        <f>'11'!T8</f>
        <v>0.35</v>
      </c>
    </row>
    <row r="17" spans="1:10" x14ac:dyDescent="0.3">
      <c r="B17" t="str">
        <f>'5'!B9</f>
        <v>Category II</v>
      </c>
      <c r="C17" s="360">
        <f>'5'!F9</f>
        <v>500</v>
      </c>
      <c r="D17" s="360">
        <f>'5'!F25</f>
        <v>500</v>
      </c>
      <c r="F17" t="str">
        <f>'11'!A9</f>
        <v>Food DefenseTQ™</v>
      </c>
      <c r="G17" s="361">
        <f>'11'!E9</f>
        <v>0.15</v>
      </c>
      <c r="H17" s="361">
        <f>'11'!J9</f>
        <v>0.25</v>
      </c>
      <c r="I17" s="361">
        <f>'11'!O9</f>
        <v>0.3</v>
      </c>
      <c r="J17" s="361">
        <f>'11'!T9</f>
        <v>0.35</v>
      </c>
    </row>
    <row r="18" spans="1:10" x14ac:dyDescent="0.3">
      <c r="A18" t="str">
        <f>'5'!A10</f>
        <v>Food SafetyTQ™</v>
      </c>
      <c r="C18" s="216"/>
      <c r="D18" s="216"/>
      <c r="F18" t="str">
        <f>'11'!A10</f>
        <v>FEAST™</v>
      </c>
      <c r="G18" s="361">
        <f>'11'!E10</f>
        <v>0.15</v>
      </c>
      <c r="H18" s="361">
        <f>'11'!J10</f>
        <v>0.25</v>
      </c>
      <c r="I18" s="361">
        <f>'11'!O10</f>
        <v>0.3</v>
      </c>
      <c r="J18" s="361">
        <f>'11'!T10</f>
        <v>0.35</v>
      </c>
    </row>
    <row r="19" spans="1:10" x14ac:dyDescent="0.3">
      <c r="B19" t="str">
        <f>'5'!B11</f>
        <v>Category I</v>
      </c>
      <c r="C19" s="360">
        <f>'5'!F11</f>
        <v>15000</v>
      </c>
      <c r="D19" s="360">
        <f>'5'!F27</f>
        <v>10000</v>
      </c>
      <c r="F19" t="str">
        <f>'11'!A11</f>
        <v>FREE™</v>
      </c>
      <c r="G19" s="361">
        <f>'11'!E11</f>
        <v>0.15</v>
      </c>
      <c r="H19" s="361">
        <f>'11'!J11</f>
        <v>0.25</v>
      </c>
      <c r="I19" s="361">
        <f>'11'!O11</f>
        <v>0.3</v>
      </c>
      <c r="J19" s="361">
        <f>'11'!T11</f>
        <v>0.35</v>
      </c>
    </row>
    <row r="20" spans="1:10" x14ac:dyDescent="0.3">
      <c r="B20" t="str">
        <f>'5'!B12</f>
        <v>Category II</v>
      </c>
      <c r="C20" s="360">
        <f>'5'!F12</f>
        <v>2000</v>
      </c>
      <c r="D20" s="360">
        <f>'5'!F28</f>
        <v>2000</v>
      </c>
      <c r="G20" s="216"/>
      <c r="H20" s="216"/>
      <c r="I20" s="216"/>
      <c r="J20" s="216"/>
    </row>
    <row r="21" spans="1:10" x14ac:dyDescent="0.3">
      <c r="A21" t="str">
        <f>'5'!A13</f>
        <v>Food DefenseTQ™</v>
      </c>
      <c r="C21" s="216"/>
      <c r="D21" s="216"/>
      <c r="F21" s="1" t="s">
        <v>323</v>
      </c>
      <c r="G21" s="216"/>
      <c r="H21" s="216"/>
      <c r="I21" s="216"/>
      <c r="J21" s="216"/>
    </row>
    <row r="22" spans="1:10" x14ac:dyDescent="0.3">
      <c r="B22" t="str">
        <f>'5'!B14</f>
        <v>Category I</v>
      </c>
      <c r="C22" s="360">
        <f>'5'!F14</f>
        <v>10000</v>
      </c>
      <c r="D22" s="360">
        <f>'5'!F30</f>
        <v>8000</v>
      </c>
      <c r="F22" t="s">
        <v>0</v>
      </c>
      <c r="G22" s="361">
        <f>'14'!C10</f>
        <v>0.22</v>
      </c>
      <c r="H22" s="216"/>
      <c r="I22" s="216"/>
      <c r="J22" s="361"/>
    </row>
    <row r="23" spans="1:10" x14ac:dyDescent="0.3">
      <c r="B23" t="str">
        <f>'5'!B15</f>
        <v>Category II</v>
      </c>
      <c r="C23" s="360">
        <f>'5'!F15</f>
        <v>2000</v>
      </c>
      <c r="D23" s="360">
        <f>'5'!F31</f>
        <v>2000</v>
      </c>
      <c r="F23" t="s">
        <v>18</v>
      </c>
      <c r="G23" s="361">
        <f>'14'!C11</f>
        <v>0.21</v>
      </c>
      <c r="H23" s="216"/>
      <c r="I23" s="216"/>
      <c r="J23" s="361"/>
    </row>
    <row r="24" spans="1:10" x14ac:dyDescent="0.3">
      <c r="A24" t="str">
        <f>'5'!A16</f>
        <v>FEAST™</v>
      </c>
      <c r="C24" s="360">
        <f>'5'!F16</f>
        <v>15000</v>
      </c>
      <c r="D24" s="360">
        <f>'5'!F32</f>
        <v>10000</v>
      </c>
      <c r="G24" s="216"/>
      <c r="H24" s="216"/>
      <c r="I24" s="216"/>
      <c r="J24" s="216"/>
    </row>
    <row r="25" spans="1:10" x14ac:dyDescent="0.3">
      <c r="A25" t="str">
        <f>'5'!A17</f>
        <v>FREE™</v>
      </c>
      <c r="C25" s="360">
        <f>'5'!F17</f>
        <v>15000</v>
      </c>
      <c r="D25" s="360">
        <f>'5'!F33</f>
        <v>10000</v>
      </c>
      <c r="F25" s="1" t="str">
        <f>'15'!A3</f>
        <v>Assumptions for NPV Analysis</v>
      </c>
      <c r="G25" s="216"/>
      <c r="H25" s="216"/>
      <c r="I25" s="216"/>
      <c r="J25" s="216"/>
    </row>
    <row r="26" spans="1:10" x14ac:dyDescent="0.3">
      <c r="C26" s="216"/>
      <c r="D26" s="216"/>
      <c r="F26" t="str">
        <f>'15'!A5</f>
        <v>Discount Rate</v>
      </c>
      <c r="G26" s="361">
        <f>'15'!E5</f>
        <v>0.3</v>
      </c>
      <c r="H26" s="216"/>
      <c r="I26" s="216"/>
      <c r="J26" s="216"/>
    </row>
    <row r="27" spans="1:10" x14ac:dyDescent="0.3">
      <c r="A27" s="1" t="s">
        <v>142</v>
      </c>
      <c r="C27" s="216"/>
      <c r="D27" s="216"/>
      <c r="F27" t="str">
        <f>'15'!A6</f>
        <v>Terminal Growth Rate in Perpetuity</v>
      </c>
      <c r="G27" s="361">
        <f>'15'!E6</f>
        <v>0.01</v>
      </c>
      <c r="H27" s="216"/>
      <c r="I27" s="216"/>
      <c r="J27" s="216"/>
    </row>
    <row r="28" spans="1:10" x14ac:dyDescent="0.3">
      <c r="A28" t="str">
        <f>'6'!A12</f>
        <v>Savings from Reviews</v>
      </c>
      <c r="C28" s="361">
        <f>'6'!E17</f>
        <v>0.7</v>
      </c>
      <c r="D28" s="216"/>
      <c r="F28" t="str">
        <f>'15'!A7</f>
        <v>Taxes as % of EBITDA</v>
      </c>
      <c r="G28" s="361">
        <f>'15'!E7</f>
        <v>0.26</v>
      </c>
      <c r="H28" s="216"/>
      <c r="I28" s="216"/>
      <c r="J28" s="216"/>
    </row>
    <row r="29" spans="1:10" x14ac:dyDescent="0.3">
      <c r="A29" t="str">
        <f>'6'!A3</f>
        <v>Savings from Losses</v>
      </c>
      <c r="C29" s="361">
        <f>'6'!E10</f>
        <v>0.14000000000000001</v>
      </c>
      <c r="D29" s="216"/>
      <c r="F29" t="str">
        <f>'15'!A8</f>
        <v>Net working capital as % of Revenues</v>
      </c>
      <c r="G29" s="361">
        <f>'15'!E8</f>
        <v>0.05</v>
      </c>
      <c r="H29" s="216"/>
      <c r="I29" s="216"/>
      <c r="J29" s="216"/>
    </row>
    <row r="30" spans="1:10" x14ac:dyDescent="0.3">
      <c r="G30" s="216"/>
      <c r="H30" s="216"/>
      <c r="I30" s="216"/>
      <c r="J30" s="216"/>
    </row>
    <row r="31" spans="1:10" x14ac:dyDescent="0.3">
      <c r="A31" s="1" t="str">
        <f>'6'!A19</f>
        <v>ROI of Customer Purchases in First Year</v>
      </c>
      <c r="F31" s="1" t="str">
        <f>'18'!A1</f>
        <v>SAI Global Forecasts and EPS Dilution</v>
      </c>
      <c r="G31" s="216"/>
      <c r="H31" s="216"/>
      <c r="I31" s="216"/>
      <c r="J31" s="216"/>
    </row>
    <row r="32" spans="1:10" x14ac:dyDescent="0.3">
      <c r="A32" t="str">
        <f>B22</f>
        <v>Category I</v>
      </c>
      <c r="C32" s="38">
        <f>'6'!H21</f>
        <v>1.7484615384615385</v>
      </c>
      <c r="F32" s="38" t="str">
        <f>'18'!A12</f>
        <v>SAI-Global EPS as % of EBITDA</v>
      </c>
      <c r="G32" s="361">
        <f>'18'!E12</f>
        <v>0.28999999999999998</v>
      </c>
      <c r="H32" s="216"/>
      <c r="I32" s="216"/>
      <c r="J32" s="216"/>
    </row>
    <row r="33" spans="1:10" x14ac:dyDescent="0.3">
      <c r="A33" t="str">
        <f>B23</f>
        <v>Category II</v>
      </c>
      <c r="C33" s="38">
        <f>'6'!H22</f>
        <v>6.5666666666666664</v>
      </c>
    </row>
    <row r="34" spans="1:10" x14ac:dyDescent="0.3">
      <c r="A34" s="20"/>
      <c r="I34" s="216"/>
      <c r="J34" s="216"/>
    </row>
    <row r="35" spans="1:10" x14ac:dyDescent="0.3">
      <c r="I35" s="216"/>
      <c r="J35" s="216"/>
    </row>
    <row r="38" spans="1:10" x14ac:dyDescent="0.3">
      <c r="A38" s="1"/>
      <c r="B38" s="1"/>
    </row>
    <row r="42" spans="1:10" x14ac:dyDescent="0.3">
      <c r="A42" s="1"/>
      <c r="B42" s="1"/>
    </row>
    <row r="45" spans="1:10" x14ac:dyDescent="0.3">
      <c r="A45" s="1"/>
      <c r="B45" s="1"/>
    </row>
    <row r="48" spans="1:10" x14ac:dyDescent="0.3">
      <c r="A48" s="1"/>
      <c r="B4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3"/>
  <sheetViews>
    <sheetView tabSelected="1" topLeftCell="A16" zoomScale="90" zoomScaleNormal="90" workbookViewId="0">
      <selection activeCell="M28" sqref="M28"/>
    </sheetView>
  </sheetViews>
  <sheetFormatPr defaultRowHeight="14.4" x14ac:dyDescent="0.3"/>
  <cols>
    <col min="1" max="1" width="40.109375" customWidth="1"/>
    <col min="2" max="11" width="8.44140625" customWidth="1"/>
  </cols>
  <sheetData>
    <row r="1" spans="1:11" x14ac:dyDescent="0.3">
      <c r="A1" s="1" t="s">
        <v>314</v>
      </c>
    </row>
    <row r="3" spans="1:11" x14ac:dyDescent="0.3">
      <c r="A3" s="1" t="s">
        <v>358</v>
      </c>
    </row>
    <row r="4" spans="1:11" x14ac:dyDescent="0.3">
      <c r="A4" s="20" t="s">
        <v>288</v>
      </c>
      <c r="B4" s="29">
        <v>2011</v>
      </c>
      <c r="C4" s="29">
        <v>2012</v>
      </c>
      <c r="D4" s="29">
        <v>2013</v>
      </c>
      <c r="E4" s="29">
        <v>2014</v>
      </c>
      <c r="F4" s="29">
        <v>2015</v>
      </c>
      <c r="G4" s="29">
        <v>2016</v>
      </c>
      <c r="H4" s="29">
        <v>2017</v>
      </c>
      <c r="I4" s="29">
        <v>2018</v>
      </c>
      <c r="J4" s="29">
        <v>2019</v>
      </c>
      <c r="K4" s="29">
        <v>2020</v>
      </c>
    </row>
    <row r="5" spans="1:11" x14ac:dyDescent="0.3">
      <c r="A5" t="s">
        <v>0</v>
      </c>
      <c r="B5" s="35">
        <f>'10'!B18</f>
        <v>77.875</v>
      </c>
      <c r="C5" s="35">
        <f>'10'!C18</f>
        <v>114.86499999999999</v>
      </c>
      <c r="D5" s="35">
        <f>'10'!D18</f>
        <v>153.33460000000002</v>
      </c>
      <c r="E5" s="35">
        <f>'10'!E18</f>
        <v>193.342984</v>
      </c>
      <c r="F5" s="35">
        <f>'10'!F18</f>
        <v>234.95170335999995</v>
      </c>
      <c r="G5" s="35">
        <f>'10'!G18</f>
        <v>274.58066208000002</v>
      </c>
      <c r="H5" s="35">
        <f>'10'!H18</f>
        <v>319.67578492160004</v>
      </c>
      <c r="I5" s="35">
        <f>'10'!I18</f>
        <v>367.47661513369599</v>
      </c>
      <c r="J5" s="35">
        <f>'10'!J18</f>
        <v>418.14549515851786</v>
      </c>
      <c r="K5" s="35">
        <f>'10'!K18</f>
        <v>471.85450798482896</v>
      </c>
    </row>
    <row r="6" spans="1:11" x14ac:dyDescent="0.3">
      <c r="A6" t="s">
        <v>18</v>
      </c>
      <c r="B6" s="35">
        <f>'12'!B11</f>
        <v>11.681249999999999</v>
      </c>
      <c r="C6" s="35">
        <f>'12'!C11</f>
        <v>28.716250000000002</v>
      </c>
      <c r="D6" s="35">
        <f>'12'!D11</f>
        <v>38.333650000000006</v>
      </c>
      <c r="E6" s="35">
        <f>'12'!E11</f>
        <v>48.335746</v>
      </c>
      <c r="F6" s="35">
        <f>'12'!F11</f>
        <v>70.485511007999989</v>
      </c>
      <c r="G6" s="35">
        <f>'12'!G11</f>
        <v>82.374198624000002</v>
      </c>
      <c r="H6" s="35">
        <f>'12'!H11</f>
        <v>95.902735476480018</v>
      </c>
      <c r="I6" s="35">
        <f>'12'!I11</f>
        <v>128.61681529679359</v>
      </c>
      <c r="J6" s="35">
        <f>'12'!J11</f>
        <v>146.35092330548122</v>
      </c>
      <c r="K6" s="35">
        <f>'12'!K11</f>
        <v>165.14907779469007</v>
      </c>
    </row>
    <row r="8" spans="1:11" x14ac:dyDescent="0.3">
      <c r="A8" s="1" t="s">
        <v>361</v>
      </c>
    </row>
    <row r="9" spans="1:11" x14ac:dyDescent="0.3">
      <c r="A9" s="20" t="s">
        <v>288</v>
      </c>
    </row>
    <row r="10" spans="1:11" x14ac:dyDescent="0.3">
      <c r="A10" t="str">
        <f>'15'!A17</f>
        <v>Free Cash Flows</v>
      </c>
      <c r="B10" s="35">
        <f>'15'!B17</f>
        <v>4.7503749999999982</v>
      </c>
      <c r="C10" s="35">
        <f>'15'!C17</f>
        <v>15.506775000000001</v>
      </c>
      <c r="D10" s="35">
        <f>'15'!D17</f>
        <v>20.700171000000005</v>
      </c>
      <c r="E10" s="35">
        <f>'15'!E17</f>
        <v>26.101302839999999</v>
      </c>
      <c r="F10" s="35">
        <f>'15'!F17</f>
        <v>40.411692977919991</v>
      </c>
      <c r="G10" s="35">
        <f>'15'!G17</f>
        <v>47.227873877759997</v>
      </c>
      <c r="H10" s="35">
        <f>'15'!H17</f>
        <v>54.984235006515213</v>
      </c>
      <c r="I10" s="35">
        <f>'15'!I17</f>
        <v>76.802612562942457</v>
      </c>
      <c r="J10" s="35">
        <f>'15'!J17</f>
        <v>87.392408488130215</v>
      </c>
      <c r="K10" s="35">
        <f>'15'!K17</f>
        <v>98.617592168829205</v>
      </c>
    </row>
    <row r="11" spans="1:11" x14ac:dyDescent="0.3">
      <c r="A11" t="str">
        <f>'16'!A7</f>
        <v>Present Value of Annual Cash Flows</v>
      </c>
      <c r="B11" s="35">
        <f>'16'!B7</f>
        <v>3.6541346153846139</v>
      </c>
      <c r="C11" s="35">
        <f>'16'!C7</f>
        <v>9.1756065088757399</v>
      </c>
      <c r="D11" s="35">
        <f>'16'!D7</f>
        <v>9.422016841147018</v>
      </c>
      <c r="E11" s="35">
        <f>'16'!E7</f>
        <v>9.1387916529533264</v>
      </c>
      <c r="F11" s="35">
        <f>'16'!F7</f>
        <v>10.884043862372838</v>
      </c>
      <c r="G11" s="35">
        <f>'16'!G7</f>
        <v>9.7844919651388693</v>
      </c>
      <c r="H11" s="35">
        <f>'16'!H7</f>
        <v>8.7626349809215718</v>
      </c>
      <c r="I11" s="35">
        <f>'16'!I7</f>
        <v>9.4151918746900343</v>
      </c>
      <c r="J11" s="35">
        <f>'16'!J7</f>
        <v>8.2410687590438307</v>
      </c>
      <c r="K11" s="35">
        <f>'16'!K7</f>
        <v>7.1535377216259981</v>
      </c>
    </row>
    <row r="12" spans="1:11" x14ac:dyDescent="0.3">
      <c r="A12" t="str">
        <f>'16'!A8</f>
        <v>Present Value of Total Annual Cash Flows</v>
      </c>
      <c r="B12" s="35">
        <f>'16'!B8</f>
        <v>85.631518782153833</v>
      </c>
      <c r="C12" s="35"/>
      <c r="D12" s="35"/>
      <c r="E12" s="35"/>
      <c r="F12" s="35"/>
      <c r="G12" s="35"/>
      <c r="H12" s="35"/>
      <c r="I12" s="35"/>
      <c r="J12" s="35"/>
      <c r="K12" s="35"/>
    </row>
    <row r="13" spans="1:11" x14ac:dyDescent="0.3">
      <c r="A13" s="6" t="str">
        <f>'16'!A9</f>
        <v>Terminal Value ("Residual Value")</v>
      </c>
      <c r="B13" s="372">
        <f>'16'!B9</f>
        <v>343.46126927764652</v>
      </c>
      <c r="C13" s="35"/>
      <c r="D13" s="35"/>
      <c r="E13" s="35"/>
      <c r="F13" s="35"/>
      <c r="G13" s="35"/>
      <c r="H13" s="35"/>
      <c r="I13" s="35"/>
      <c r="J13" s="35"/>
      <c r="K13" s="35"/>
    </row>
    <row r="14" spans="1:11" x14ac:dyDescent="0.3">
      <c r="A14" s="3" t="s">
        <v>283</v>
      </c>
      <c r="B14" s="174">
        <f>B12+B13</f>
        <v>429.09278805980034</v>
      </c>
    </row>
    <row r="16" spans="1:11" x14ac:dyDescent="0.3">
      <c r="A16" s="1" t="s">
        <v>363</v>
      </c>
    </row>
    <row r="17" spans="1:6" x14ac:dyDescent="0.3">
      <c r="A17" s="20" t="s">
        <v>288</v>
      </c>
      <c r="B17" s="29">
        <v>2011</v>
      </c>
      <c r="C17" s="29">
        <v>2012</v>
      </c>
      <c r="D17" s="29">
        <v>2013</v>
      </c>
      <c r="E17" s="29">
        <v>2014</v>
      </c>
      <c r="F17" s="29">
        <v>2015</v>
      </c>
    </row>
    <row r="18" spans="1:6" x14ac:dyDescent="0.3">
      <c r="A18" s="3" t="s">
        <v>23</v>
      </c>
      <c r="B18" s="35">
        <f>B10</f>
        <v>4.7503749999999982</v>
      </c>
      <c r="C18" s="35">
        <f t="shared" ref="C18:F18" si="0">C10</f>
        <v>15.506775000000001</v>
      </c>
      <c r="D18" s="35">
        <f t="shared" si="0"/>
        <v>20.700171000000005</v>
      </c>
      <c r="E18" s="35">
        <f t="shared" si="0"/>
        <v>26.101302839999999</v>
      </c>
      <c r="F18" s="35">
        <f t="shared" si="0"/>
        <v>40.411692977919991</v>
      </c>
    </row>
    <row r="19" spans="1:6" x14ac:dyDescent="0.3">
      <c r="A19" t="s">
        <v>132</v>
      </c>
      <c r="B19" s="35">
        <f>B11</f>
        <v>3.6541346153846139</v>
      </c>
      <c r="C19" s="35">
        <f t="shared" ref="C19:F19" si="1">C11</f>
        <v>9.1756065088757399</v>
      </c>
      <c r="D19" s="35">
        <f t="shared" si="1"/>
        <v>9.422016841147018</v>
      </c>
      <c r="E19" s="35">
        <f t="shared" si="1"/>
        <v>9.1387916529533264</v>
      </c>
      <c r="F19" s="35">
        <f t="shared" si="1"/>
        <v>10.884043862372838</v>
      </c>
    </row>
    <row r="20" spans="1:6" x14ac:dyDescent="0.3">
      <c r="A20" t="s">
        <v>362</v>
      </c>
      <c r="B20" s="35">
        <f>SUM(B19:F19)</f>
        <v>42.274593480733536</v>
      </c>
    </row>
    <row r="21" spans="1:6" x14ac:dyDescent="0.3">
      <c r="A21" s="6" t="s">
        <v>355</v>
      </c>
      <c r="B21" s="372">
        <f>'16'!B17</f>
        <v>140.74417209551447</v>
      </c>
    </row>
    <row r="22" spans="1:6" x14ac:dyDescent="0.3">
      <c r="A22" t="s">
        <v>283</v>
      </c>
      <c r="B22" s="373">
        <f>'16'!B18</f>
        <v>183.018765576248</v>
      </c>
    </row>
    <row r="23" spans="1:6" x14ac:dyDescent="0.3">
      <c r="A23" s="3"/>
      <c r="B23" s="3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10" zoomScaleNormal="110" workbookViewId="0">
      <selection activeCell="E9" sqref="E9"/>
    </sheetView>
  </sheetViews>
  <sheetFormatPr defaultRowHeight="14.4" x14ac:dyDescent="0.3"/>
  <cols>
    <col min="1" max="1" width="41.33203125" customWidth="1"/>
    <col min="2" max="3" width="9.33203125" customWidth="1"/>
    <col min="4" max="4" width="47.109375" customWidth="1"/>
  </cols>
  <sheetData>
    <row r="1" spans="1:6" ht="13.5" customHeight="1" x14ac:dyDescent="0.3">
      <c r="A1" s="1" t="s">
        <v>131</v>
      </c>
    </row>
    <row r="2" spans="1:6" ht="13.5" customHeight="1" x14ac:dyDescent="0.3">
      <c r="C2" s="26"/>
    </row>
    <row r="3" spans="1:6" ht="13.5" customHeight="1" x14ac:dyDescent="0.3">
      <c r="A3" s="1" t="s">
        <v>280</v>
      </c>
      <c r="B3" s="27" t="s">
        <v>152</v>
      </c>
      <c r="C3" s="26"/>
      <c r="D3" s="1" t="s">
        <v>282</v>
      </c>
      <c r="E3" s="27" t="s">
        <v>152</v>
      </c>
    </row>
    <row r="4" spans="1:6" ht="13.5" customHeight="1" x14ac:dyDescent="0.3">
      <c r="A4" s="233" t="str">
        <f>'1'!A1</f>
        <v>Spending per Facility on Food Defense</v>
      </c>
      <c r="B4" s="238">
        <v>1</v>
      </c>
      <c r="C4" s="26"/>
      <c r="D4" s="232" t="str">
        <f>'13'!A1</f>
        <v>SAI Global's Recent Income Statement Data</v>
      </c>
      <c r="E4" s="241">
        <v>13</v>
      </c>
    </row>
    <row r="5" spans="1:6" ht="13.5" customHeight="1" x14ac:dyDescent="0.3">
      <c r="A5" s="234" t="str">
        <f>'2'!A1</f>
        <v>Size of the Food Defense Market</v>
      </c>
      <c r="B5" s="238">
        <v>2</v>
      </c>
      <c r="C5" s="26"/>
      <c r="D5" s="232" t="str">
        <f>'14'!A1</f>
        <v>Relative Revenue and EBITDA Growth</v>
      </c>
      <c r="E5" s="241">
        <v>14</v>
      </c>
    </row>
    <row r="6" spans="1:6" ht="13.5" customHeight="1" x14ac:dyDescent="0.3">
      <c r="A6" s="234" t="str">
        <f>'3'!A1</f>
        <v>Size of the Food Industry</v>
      </c>
      <c r="B6" s="238">
        <v>3</v>
      </c>
      <c r="C6" s="26"/>
      <c r="E6" s="242"/>
    </row>
    <row r="7" spans="1:6" ht="13.5" customHeight="1" x14ac:dyDescent="0.3">
      <c r="A7" s="234" t="str">
        <f>'4'!A1</f>
        <v>Forecasted Food Industry Growth</v>
      </c>
      <c r="B7" s="238">
        <v>4</v>
      </c>
      <c r="D7" s="1" t="s">
        <v>58</v>
      </c>
      <c r="E7" s="242"/>
    </row>
    <row r="8" spans="1:6" ht="13.5" customHeight="1" x14ac:dyDescent="0.3">
      <c r="B8" s="218"/>
      <c r="D8" s="231" t="str">
        <f>'15'!A1</f>
        <v>Discounted Cash Flow Valuation: Inputs</v>
      </c>
      <c r="E8" s="243">
        <v>15</v>
      </c>
    </row>
    <row r="9" spans="1:6" x14ac:dyDescent="0.3">
      <c r="A9" s="1" t="s">
        <v>50</v>
      </c>
      <c r="B9" s="218"/>
      <c r="D9" s="231" t="str">
        <f>'16'!A1</f>
        <v>Discounted Cash Flow Valuation: Outputs</v>
      </c>
      <c r="E9" s="243">
        <v>16</v>
      </c>
    </row>
    <row r="10" spans="1:6" ht="13.5" customHeight="1" x14ac:dyDescent="0.3">
      <c r="A10" s="232" t="str">
        <f>'5'!A1</f>
        <v>Prices of ThoughtQuest Solutions</v>
      </c>
      <c r="B10" s="239">
        <v>5</v>
      </c>
      <c r="E10" s="242"/>
      <c r="F10" s="22"/>
    </row>
    <row r="11" spans="1:6" ht="13.5" customHeight="1" x14ac:dyDescent="0.3">
      <c r="A11" s="232" t="str">
        <f>'6'!A1</f>
        <v>ROI of Customer Purchases in First Year</v>
      </c>
      <c r="B11" s="239">
        <v>6</v>
      </c>
      <c r="D11" s="1" t="s">
        <v>139</v>
      </c>
      <c r="E11" s="242"/>
    </row>
    <row r="12" spans="1:6" ht="13.5" customHeight="1" x14ac:dyDescent="0.3">
      <c r="A12" s="232" t="str">
        <f>'7'!A1</f>
        <v>Market Penetration Rates</v>
      </c>
      <c r="B12" s="239">
        <v>7</v>
      </c>
      <c r="D12" s="232" t="str">
        <f>'17'!A1</f>
        <v>SAI-Global Financial Statement Data</v>
      </c>
      <c r="E12" s="241">
        <v>17</v>
      </c>
      <c r="F12" s="22"/>
    </row>
    <row r="13" spans="1:6" ht="13.5" customHeight="1" x14ac:dyDescent="0.3">
      <c r="A13" s="232" t="str">
        <f>'8'!A1</f>
        <v>New Unit Sales Yearly</v>
      </c>
      <c r="B13" s="239">
        <v>8</v>
      </c>
      <c r="D13" s="232" t="str">
        <f>'18'!A1</f>
        <v>SAI Global Forecasts and EPS Dilution</v>
      </c>
      <c r="E13" s="241">
        <v>18</v>
      </c>
      <c r="F13" s="22"/>
    </row>
    <row r="14" spans="1:6" ht="13.5" customHeight="1" x14ac:dyDescent="0.3">
      <c r="A14" s="232" t="str">
        <f>'9'!A1</f>
        <v>SAI Global-TQ Revenues by Type</v>
      </c>
      <c r="B14" s="239">
        <v>9</v>
      </c>
      <c r="D14" s="232" t="str">
        <f>'19'!A1</f>
        <v>Acquisition of Integrity Interactive</v>
      </c>
      <c r="E14" s="241">
        <v>19</v>
      </c>
      <c r="F14" s="22"/>
    </row>
    <row r="15" spans="1:6" ht="13.5" customHeight="1" x14ac:dyDescent="0.3">
      <c r="A15" s="232" t="str">
        <f>'10'!A1</f>
        <v>SAI Global-TQ Total Revenue Projections</v>
      </c>
      <c r="B15" s="239">
        <v>10</v>
      </c>
      <c r="E15" s="242"/>
    </row>
    <row r="16" spans="1:6" ht="13.5" customHeight="1" x14ac:dyDescent="0.3">
      <c r="B16" s="217"/>
      <c r="D16" s="1" t="s">
        <v>136</v>
      </c>
      <c r="E16" s="242"/>
    </row>
    <row r="17" spans="1:6" ht="13.5" customHeight="1" x14ac:dyDescent="0.3">
      <c r="A17" s="1" t="s">
        <v>51</v>
      </c>
      <c r="B17" s="217"/>
      <c r="D17" s="230" t="str">
        <f>'20'!A1</f>
        <v>Ratio Analysis</v>
      </c>
      <c r="E17" s="238">
        <v>20</v>
      </c>
    </row>
    <row r="18" spans="1:6" ht="13.5" customHeight="1" x14ac:dyDescent="0.3">
      <c r="A18" s="231" t="str">
        <f>'11'!A1</f>
        <v>EBITDA Assumptions</v>
      </c>
      <c r="B18" s="238">
        <v>11</v>
      </c>
      <c r="D18" s="230" t="str">
        <f>'21'!A1</f>
        <v>Graphs</v>
      </c>
      <c r="E18" s="238">
        <v>21</v>
      </c>
    </row>
    <row r="19" spans="1:6" ht="13.5" customHeight="1" x14ac:dyDescent="0.3">
      <c r="A19" s="231" t="s">
        <v>57</v>
      </c>
      <c r="B19" s="240">
        <v>12</v>
      </c>
      <c r="D19" s="230" t="str">
        <f>'22'!A1</f>
        <v>Summary of Assumptions</v>
      </c>
      <c r="E19" s="238">
        <v>22</v>
      </c>
    </row>
    <row r="20" spans="1:6" ht="13.5" customHeight="1" x14ac:dyDescent="0.3">
      <c r="D20" s="347" t="str">
        <f>'23'!A1</f>
        <v>Summary of Conclusions</v>
      </c>
      <c r="E20" s="240">
        <v>23</v>
      </c>
      <c r="F20" s="22"/>
    </row>
    <row r="21" spans="1:6" ht="13.5" customHeight="1" x14ac:dyDescent="0.3">
      <c r="A21" s="235" t="s">
        <v>318</v>
      </c>
    </row>
    <row r="22" spans="1:6" ht="13.5" customHeight="1" x14ac:dyDescent="0.3"/>
    <row r="23" spans="1:6" ht="13.5" customHeight="1" x14ac:dyDescent="0.3"/>
    <row r="24" spans="1:6" ht="13.5" customHeight="1" x14ac:dyDescent="0.3"/>
    <row r="25" spans="1:6" ht="13.5" customHeight="1" x14ac:dyDescent="0.3"/>
    <row r="26" spans="1:6" ht="13.5" customHeight="1" x14ac:dyDescent="0.3"/>
    <row r="27" spans="1:6" ht="13.5" customHeight="1" x14ac:dyDescent="0.3"/>
    <row r="28" spans="1:6" ht="13.5" customHeight="1" x14ac:dyDescent="0.3"/>
    <row r="29" spans="1:6" ht="13.5" customHeight="1" x14ac:dyDescent="0.3"/>
    <row r="30" spans="1:6" ht="13.5" customHeight="1" x14ac:dyDescent="0.3"/>
    <row r="31" spans="1:6" ht="13.5" customHeight="1" x14ac:dyDescent="0.3"/>
  </sheetData>
  <hyperlinks>
    <hyperlink ref="B4" location="'1'!A1" display="'1'!A1"/>
    <hyperlink ref="B5" location="'2'!A1" display="'2'!A1"/>
    <hyperlink ref="B6" location="'3'!A1" display="'3'!A1"/>
    <hyperlink ref="B7" location="'4'!A1" display="'4'!A1"/>
    <hyperlink ref="B10" location="'5'!A1" display="'5'!A1"/>
    <hyperlink ref="B11" location="'6'!A1" display="'6'!A1"/>
    <hyperlink ref="B12" location="'7'!A1" display="'7'!A1"/>
    <hyperlink ref="B13" location="'8'!A1" display="'8'!A1"/>
    <hyperlink ref="B19" location="'12'!A1" display="'12'!A1"/>
    <hyperlink ref="E13" location="'18'!A1" display="'18'!A1"/>
    <hyperlink ref="E12" location="'17'!A1" display="'17'!A1"/>
    <hyperlink ref="E4" location="'13'!A1" display="'13'!A1"/>
    <hyperlink ref="E5" location="'14'!A1" display="'14'!A1"/>
    <hyperlink ref="E9" location="'16'!A1" display="'16'!A1"/>
    <hyperlink ref="E8" location="'15'!A1" display="'15'!A1"/>
    <hyperlink ref="B14" location="'9'!A1" display="'9'!A1"/>
    <hyperlink ref="B15" location="'10'!A1" display="'10'!A1"/>
    <hyperlink ref="B18" location="'11'!A1" display="'11'!A1"/>
    <hyperlink ref="E17" location="'20'!A1" display="'20'!A1"/>
    <hyperlink ref="E19" location="'22'!A1" display="'22'!A1"/>
    <hyperlink ref="E18" location="'21'!A1" display="'21'!A1"/>
    <hyperlink ref="E14" location="'19'!A1" display="'19'!A1"/>
    <hyperlink ref="E20" location="'23'!A1" display="'23'!A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2"/>
  <sheetViews>
    <sheetView topLeftCell="B1" zoomScaleNormal="100" workbookViewId="0">
      <selection activeCell="C6" sqref="C6"/>
    </sheetView>
  </sheetViews>
  <sheetFormatPr defaultRowHeight="14.4" x14ac:dyDescent="0.3"/>
  <cols>
    <col min="1" max="1" width="31.109375" customWidth="1"/>
    <col min="2" max="5" width="12.5546875" customWidth="1"/>
    <col min="6" max="6" width="9.5546875" customWidth="1"/>
    <col min="7" max="7" width="31.6640625" customWidth="1"/>
    <col min="8" max="11" width="12.6640625" customWidth="1"/>
    <col min="12" max="13" width="9.5546875" customWidth="1"/>
  </cols>
  <sheetData>
    <row r="1" spans="1:11" x14ac:dyDescent="0.3">
      <c r="A1" s="1" t="s">
        <v>271</v>
      </c>
      <c r="C1" s="59" t="s">
        <v>59</v>
      </c>
    </row>
    <row r="3" spans="1:11" x14ac:dyDescent="0.3">
      <c r="A3" s="386" t="s">
        <v>260</v>
      </c>
      <c r="B3" s="387"/>
      <c r="C3" s="387"/>
      <c r="D3" s="387"/>
      <c r="E3" s="388"/>
      <c r="G3" s="386" t="s">
        <v>261</v>
      </c>
      <c r="H3" s="387"/>
      <c r="I3" s="387"/>
      <c r="J3" s="387"/>
      <c r="K3" s="388"/>
    </row>
    <row r="4" spans="1:11" x14ac:dyDescent="0.3">
      <c r="A4" s="71"/>
      <c r="B4" s="383" t="s">
        <v>67</v>
      </c>
      <c r="C4" s="384"/>
      <c r="D4" s="385"/>
      <c r="E4" s="276"/>
      <c r="G4" s="71"/>
      <c r="H4" s="383" t="s">
        <v>67</v>
      </c>
      <c r="I4" s="384"/>
      <c r="J4" s="385"/>
      <c r="K4" s="276"/>
    </row>
    <row r="5" spans="1:11" x14ac:dyDescent="0.3">
      <c r="A5" s="320" t="s">
        <v>287</v>
      </c>
      <c r="B5" s="171" t="s">
        <v>63</v>
      </c>
      <c r="C5" s="172" t="s">
        <v>64</v>
      </c>
      <c r="D5" s="173" t="s">
        <v>65</v>
      </c>
      <c r="E5" s="65" t="s">
        <v>66</v>
      </c>
      <c r="G5" s="320" t="s">
        <v>287</v>
      </c>
      <c r="H5" s="171" t="s">
        <v>63</v>
      </c>
      <c r="I5" s="172" t="s">
        <v>64</v>
      </c>
      <c r="J5" s="173" t="s">
        <v>65</v>
      </c>
      <c r="K5" s="65" t="s">
        <v>66</v>
      </c>
    </row>
    <row r="6" spans="1:11" x14ac:dyDescent="0.3">
      <c r="A6" s="312" t="s">
        <v>284</v>
      </c>
      <c r="B6" s="316">
        <f>C6*(1-Foreward!$AA$13)</f>
        <v>21250</v>
      </c>
      <c r="C6" s="317">
        <v>25000</v>
      </c>
      <c r="D6" s="318">
        <f>C6*(1+Foreward!$AA$12)</f>
        <v>30000</v>
      </c>
      <c r="E6" s="319">
        <v>25000</v>
      </c>
      <c r="G6" s="312" t="s">
        <v>285</v>
      </c>
      <c r="H6" s="316">
        <f>I6*(1-Foreward!$AA$13)</f>
        <v>63750</v>
      </c>
      <c r="I6" s="317">
        <v>75000</v>
      </c>
      <c r="J6" s="318">
        <f>I6*(1+Foreward!$AA$12)</f>
        <v>90000</v>
      </c>
      <c r="K6" s="319">
        <v>75000</v>
      </c>
    </row>
    <row r="7" spans="1:11" x14ac:dyDescent="0.3">
      <c r="A7" s="71"/>
      <c r="B7" s="22"/>
      <c r="C7" s="22"/>
      <c r="D7" s="22"/>
      <c r="E7" s="276"/>
      <c r="G7" s="71"/>
      <c r="H7" s="22"/>
      <c r="I7" s="22"/>
      <c r="J7" s="22"/>
      <c r="K7" s="276"/>
    </row>
    <row r="8" spans="1:11" x14ac:dyDescent="0.3">
      <c r="A8" s="312" t="s">
        <v>263</v>
      </c>
      <c r="B8" s="380" t="s">
        <v>67</v>
      </c>
      <c r="C8" s="381"/>
      <c r="D8" s="382"/>
      <c r="E8" s="276"/>
      <c r="F8" s="26"/>
      <c r="G8" s="312" t="s">
        <v>263</v>
      </c>
      <c r="H8" s="380" t="s">
        <v>67</v>
      </c>
      <c r="I8" s="381"/>
      <c r="J8" s="382"/>
      <c r="K8" s="276"/>
    </row>
    <row r="9" spans="1:11" x14ac:dyDescent="0.3">
      <c r="A9" s="311" t="s">
        <v>264</v>
      </c>
      <c r="B9" s="74" t="s">
        <v>63</v>
      </c>
      <c r="C9" s="75" t="s">
        <v>64</v>
      </c>
      <c r="D9" s="76" t="s">
        <v>65</v>
      </c>
      <c r="E9" s="66" t="s">
        <v>66</v>
      </c>
      <c r="G9" s="311" t="s">
        <v>264</v>
      </c>
      <c r="H9" s="74" t="s">
        <v>63</v>
      </c>
      <c r="I9" s="75" t="s">
        <v>64</v>
      </c>
      <c r="J9" s="76" t="s">
        <v>65</v>
      </c>
      <c r="K9" s="66" t="s">
        <v>66</v>
      </c>
    </row>
    <row r="10" spans="1:11" x14ac:dyDescent="0.3">
      <c r="A10" s="71" t="s">
        <v>53</v>
      </c>
      <c r="B10" s="314">
        <f>C10*(1+Foreward!$AA$12)</f>
        <v>13200</v>
      </c>
      <c r="C10" s="82">
        <v>11000</v>
      </c>
      <c r="D10" s="83">
        <f>C10*(1-Foreward!$AA$13)</f>
        <v>9350</v>
      </c>
      <c r="E10" s="77">
        <v>11000</v>
      </c>
      <c r="G10" s="71" t="s">
        <v>53</v>
      </c>
      <c r="H10" s="314">
        <f>I10*(1+Foreward!$AA$12)</f>
        <v>1920</v>
      </c>
      <c r="I10" s="82">
        <v>1600</v>
      </c>
      <c r="J10" s="83">
        <f>I10*(1-Foreward!$AA$13)</f>
        <v>1360</v>
      </c>
      <c r="K10" s="57">
        <v>1600</v>
      </c>
    </row>
    <row r="11" spans="1:11" x14ac:dyDescent="0.3">
      <c r="A11" s="71" t="s">
        <v>71</v>
      </c>
      <c r="B11" s="314">
        <f>C11*(1+Foreward!$AA$12)</f>
        <v>60000</v>
      </c>
      <c r="C11" s="84">
        <v>50000</v>
      </c>
      <c r="D11" s="83">
        <f>C11*(1-Foreward!$AA$13)</f>
        <v>42500</v>
      </c>
      <c r="E11" s="57">
        <v>50000</v>
      </c>
      <c r="G11" s="71" t="s">
        <v>71</v>
      </c>
      <c r="H11" s="314">
        <f>I11*(1+Foreward!$AA$12)</f>
        <v>3600</v>
      </c>
      <c r="I11" s="84">
        <v>3000</v>
      </c>
      <c r="J11" s="83">
        <f>I11*(1-Foreward!$AA$13)</f>
        <v>2550</v>
      </c>
      <c r="K11" s="57">
        <v>3000</v>
      </c>
    </row>
    <row r="12" spans="1:11" x14ac:dyDescent="0.3">
      <c r="A12" s="71" t="s">
        <v>72</v>
      </c>
      <c r="B12" s="314">
        <f>C12*(1+Foreward!$AA$12)</f>
        <v>44640</v>
      </c>
      <c r="C12" s="84">
        <v>37200</v>
      </c>
      <c r="D12" s="83">
        <f>C12*(1-Foreward!$AA$13)</f>
        <v>31620</v>
      </c>
      <c r="E12" s="57">
        <v>37200</v>
      </c>
      <c r="G12" s="71" t="s">
        <v>72</v>
      </c>
      <c r="H12" s="314">
        <f>I12*(1+Foreward!$AA$12)</f>
        <v>7440</v>
      </c>
      <c r="I12" s="84">
        <v>6200</v>
      </c>
      <c r="J12" s="83">
        <f>I12*(1-Foreward!$AA$13)</f>
        <v>5270</v>
      </c>
      <c r="K12" s="57">
        <v>6200</v>
      </c>
    </row>
    <row r="13" spans="1:11" x14ac:dyDescent="0.3">
      <c r="A13" s="71" t="s">
        <v>54</v>
      </c>
      <c r="B13" s="314">
        <f>C13*(1+Foreward!$AA$12)</f>
        <v>36600</v>
      </c>
      <c r="C13" s="84">
        <v>30500</v>
      </c>
      <c r="D13" s="83">
        <f>C13*(1-Foreward!$AA$13)</f>
        <v>25925</v>
      </c>
      <c r="E13" s="57">
        <v>30500</v>
      </c>
      <c r="G13" s="71" t="s">
        <v>54</v>
      </c>
      <c r="H13" s="314">
        <f>I13*(1+Foreward!$AA$12)</f>
        <v>11160</v>
      </c>
      <c r="I13" s="84">
        <v>9300</v>
      </c>
      <c r="J13" s="83">
        <f>I13*(1-Foreward!$AA$13)</f>
        <v>7905</v>
      </c>
      <c r="K13" s="57">
        <v>9300</v>
      </c>
    </row>
    <row r="14" spans="1:11" ht="16.2" x14ac:dyDescent="0.45">
      <c r="A14" s="311" t="s">
        <v>55</v>
      </c>
      <c r="B14" s="315">
        <f>C14*(1+Foreward!$AA$12)</f>
        <v>46080</v>
      </c>
      <c r="C14" s="85">
        <v>38400</v>
      </c>
      <c r="D14" s="86">
        <f>C14*(1-Foreward!$AA$13)</f>
        <v>32640</v>
      </c>
      <c r="E14" s="58">
        <v>38400</v>
      </c>
      <c r="G14" s="311" t="s">
        <v>55</v>
      </c>
      <c r="H14" s="315">
        <f>I14*(1+Foreward!$AA$12)</f>
        <v>11520</v>
      </c>
      <c r="I14" s="85">
        <v>9600</v>
      </c>
      <c r="J14" s="86">
        <f>I14*(1-Foreward!$AA$13)</f>
        <v>8160</v>
      </c>
      <c r="K14" s="58">
        <v>9600</v>
      </c>
    </row>
    <row r="15" spans="1:11" x14ac:dyDescent="0.3">
      <c r="A15" s="71" t="s">
        <v>33</v>
      </c>
      <c r="B15" s="78">
        <f>SUM(B10:B14)</f>
        <v>200520</v>
      </c>
      <c r="C15" s="78">
        <f>SUM(C10:C14)</f>
        <v>167100</v>
      </c>
      <c r="D15" s="78">
        <f>SUM(D10:D14)</f>
        <v>142035</v>
      </c>
      <c r="E15" s="70">
        <f>SUM(E10:E14)</f>
        <v>167100</v>
      </c>
      <c r="G15" s="71" t="s">
        <v>33</v>
      </c>
      <c r="H15" s="78">
        <f>SUM(H10:H14)</f>
        <v>35640</v>
      </c>
      <c r="I15" s="78">
        <f>SUM(I10:I14)</f>
        <v>29700</v>
      </c>
      <c r="J15" s="78">
        <f>SUM(J10:J14)</f>
        <v>25245</v>
      </c>
      <c r="K15" s="70">
        <f>SUM(K10:K14)</f>
        <v>29700</v>
      </c>
    </row>
    <row r="16" spans="1:11" x14ac:dyDescent="0.3">
      <c r="A16" s="71"/>
      <c r="B16" s="22"/>
      <c r="C16" s="22"/>
      <c r="D16" s="22"/>
      <c r="E16" s="258"/>
      <c r="F16" s="26"/>
      <c r="G16" s="71"/>
      <c r="H16" s="22"/>
      <c r="I16" s="22"/>
      <c r="J16" s="22"/>
      <c r="K16" s="276"/>
    </row>
    <row r="17" spans="1:11" x14ac:dyDescent="0.3">
      <c r="A17" s="312" t="s">
        <v>262</v>
      </c>
      <c r="B17" s="380" t="s">
        <v>67</v>
      </c>
      <c r="C17" s="381"/>
      <c r="D17" s="382"/>
      <c r="E17" s="258"/>
      <c r="G17" s="312" t="s">
        <v>262</v>
      </c>
      <c r="H17" s="380" t="s">
        <v>67</v>
      </c>
      <c r="I17" s="381"/>
      <c r="J17" s="382"/>
      <c r="K17" s="276"/>
    </row>
    <row r="18" spans="1:11" x14ac:dyDescent="0.3">
      <c r="A18" s="311" t="s">
        <v>264</v>
      </c>
      <c r="B18" s="74" t="s">
        <v>63</v>
      </c>
      <c r="C18" s="75" t="s">
        <v>64</v>
      </c>
      <c r="D18" s="76" t="s">
        <v>65</v>
      </c>
      <c r="E18" s="80" t="s">
        <v>66</v>
      </c>
      <c r="G18" s="311" t="s">
        <v>264</v>
      </c>
      <c r="H18" s="74" t="s">
        <v>63</v>
      </c>
      <c r="I18" s="75" t="s">
        <v>64</v>
      </c>
      <c r="J18" s="76" t="s">
        <v>65</v>
      </c>
      <c r="K18" s="66" t="s">
        <v>66</v>
      </c>
    </row>
    <row r="19" spans="1:11" x14ac:dyDescent="0.3">
      <c r="A19" s="71" t="s">
        <v>143</v>
      </c>
      <c r="B19" s="81">
        <f>C19*(1+Foreward!$AA$12)</f>
        <v>60000</v>
      </c>
      <c r="C19" s="84">
        <v>50000</v>
      </c>
      <c r="D19" s="83">
        <f>C19*(1-Foreward!$AA$13)</f>
        <v>42500</v>
      </c>
      <c r="E19" s="57">
        <v>50000</v>
      </c>
      <c r="G19" s="71" t="s">
        <v>143</v>
      </c>
      <c r="H19" s="314">
        <f>I19*(1+Foreward!$AA$12)</f>
        <v>30000</v>
      </c>
      <c r="I19" s="84">
        <v>25000</v>
      </c>
      <c r="J19" s="83">
        <f>I19*(1-Foreward!$AA$13)</f>
        <v>21250</v>
      </c>
      <c r="K19" s="57">
        <v>25000</v>
      </c>
    </row>
    <row r="20" spans="1:11" x14ac:dyDescent="0.3">
      <c r="A20" s="71" t="s">
        <v>144</v>
      </c>
      <c r="B20" s="314">
        <f>C20*(1+Foreward!$AA$12)</f>
        <v>28800</v>
      </c>
      <c r="C20" s="84">
        <v>24000</v>
      </c>
      <c r="D20" s="83">
        <f>C20*(1-Foreward!$AA$13)</f>
        <v>20400</v>
      </c>
      <c r="E20" s="57">
        <v>24000</v>
      </c>
      <c r="G20" s="71" t="s">
        <v>144</v>
      </c>
      <c r="H20" s="314">
        <f>I20*(1+Foreward!$AA$12)</f>
        <v>14400</v>
      </c>
      <c r="I20" s="84">
        <v>12000</v>
      </c>
      <c r="J20" s="83">
        <f>I20*(1-Foreward!$AA$13)</f>
        <v>10200</v>
      </c>
      <c r="K20" s="57">
        <v>12000</v>
      </c>
    </row>
    <row r="21" spans="1:11" ht="16.2" x14ac:dyDescent="0.45">
      <c r="A21" s="311" t="s">
        <v>145</v>
      </c>
      <c r="B21" s="315">
        <f>C21*(1+Foreward!$AA$12)</f>
        <v>14400</v>
      </c>
      <c r="C21" s="85">
        <v>12000</v>
      </c>
      <c r="D21" s="86">
        <f>C21*(1-Foreward!$AA$13)</f>
        <v>10200</v>
      </c>
      <c r="E21" s="58">
        <v>12000</v>
      </c>
      <c r="G21" s="311" t="s">
        <v>145</v>
      </c>
      <c r="H21" s="315">
        <f>I21*(1+Foreward!$AA$12)</f>
        <v>6000</v>
      </c>
      <c r="I21" s="85">
        <v>5000</v>
      </c>
      <c r="J21" s="86">
        <f>I21*(1-Foreward!$AA$13)</f>
        <v>4250</v>
      </c>
      <c r="K21" s="58">
        <v>5000</v>
      </c>
    </row>
    <row r="22" spans="1:11" x14ac:dyDescent="0.3">
      <c r="A22" s="72" t="s">
        <v>33</v>
      </c>
      <c r="B22" s="78">
        <f>SUM(B19:B21)</f>
        <v>103200</v>
      </c>
      <c r="C22" s="69">
        <f>SUM(C19:C21)</f>
        <v>86000</v>
      </c>
      <c r="D22" s="69">
        <f>SUM(D19:D21)</f>
        <v>73100</v>
      </c>
      <c r="E22" s="313">
        <f>SUM(E19:E21)</f>
        <v>86000</v>
      </c>
      <c r="G22" s="72" t="s">
        <v>33</v>
      </c>
      <c r="H22" s="70">
        <f>SUM(H19:H21)</f>
        <v>50400</v>
      </c>
      <c r="I22" s="78">
        <f>SUM(I19:I21)</f>
        <v>42000</v>
      </c>
      <c r="J22" s="78">
        <f>SUM(J19:J21)</f>
        <v>35700</v>
      </c>
      <c r="K22" s="70">
        <f>SUM(K19:K21)</f>
        <v>42000</v>
      </c>
    </row>
  </sheetData>
  <mergeCells count="8">
    <mergeCell ref="B17:D17"/>
    <mergeCell ref="H8:J8"/>
    <mergeCell ref="H17:J17"/>
    <mergeCell ref="B4:D4"/>
    <mergeCell ref="A3:E3"/>
    <mergeCell ref="G3:K3"/>
    <mergeCell ref="H4:J4"/>
    <mergeCell ref="B8:D8"/>
  </mergeCells>
  <hyperlinks>
    <hyperlink ref="C1" location="Index!A1" display="Back to 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6"/>
  <sheetViews>
    <sheetView zoomScale="90" zoomScaleNormal="90" workbookViewId="0">
      <selection activeCell="F22" sqref="F22"/>
    </sheetView>
  </sheetViews>
  <sheetFormatPr defaultRowHeight="14.4" x14ac:dyDescent="0.3"/>
  <cols>
    <col min="1" max="1" width="41.88671875" customWidth="1"/>
    <col min="2" max="5" width="11.5546875" customWidth="1"/>
    <col min="6" max="6" width="9.44140625" customWidth="1"/>
    <col min="7" max="7" width="40.5546875" customWidth="1"/>
    <col min="8" max="11" width="11.44140625" customWidth="1"/>
  </cols>
  <sheetData>
    <row r="1" spans="1:11" x14ac:dyDescent="0.3">
      <c r="A1" s="1" t="s">
        <v>270</v>
      </c>
      <c r="B1" s="59" t="s">
        <v>59</v>
      </c>
      <c r="C1" s="1"/>
      <c r="F1" s="1"/>
    </row>
    <row r="3" spans="1:11" x14ac:dyDescent="0.3">
      <c r="A3" s="386" t="s">
        <v>70</v>
      </c>
      <c r="B3" s="387"/>
      <c r="C3" s="388"/>
      <c r="E3" s="309"/>
      <c r="F3" s="22"/>
      <c r="K3" s="22"/>
    </row>
    <row r="4" spans="1:11" s="22" customFormat="1" x14ac:dyDescent="0.3">
      <c r="A4" s="320" t="s">
        <v>288</v>
      </c>
      <c r="B4" s="154" t="s">
        <v>265</v>
      </c>
      <c r="C4" s="145" t="s">
        <v>267</v>
      </c>
      <c r="E4" s="310"/>
    </row>
    <row r="5" spans="1:11" s="22" customFormat="1" x14ac:dyDescent="0.3">
      <c r="B5" s="307" t="s">
        <v>266</v>
      </c>
      <c r="C5" s="323" t="s">
        <v>268</v>
      </c>
      <c r="D5"/>
      <c r="E5"/>
      <c r="F5"/>
      <c r="G5"/>
      <c r="H5"/>
      <c r="I5"/>
      <c r="J5"/>
      <c r="K5"/>
    </row>
    <row r="6" spans="1:11" s="22" customFormat="1" x14ac:dyDescent="0.3">
      <c r="A6" s="312" t="s">
        <v>263</v>
      </c>
      <c r="B6" s="298"/>
      <c r="C6" s="276"/>
      <c r="D6"/>
      <c r="E6"/>
      <c r="F6"/>
      <c r="G6"/>
      <c r="H6"/>
      <c r="I6"/>
      <c r="J6"/>
      <c r="K6"/>
    </row>
    <row r="7" spans="1:11" s="22" customFormat="1" x14ac:dyDescent="0.3">
      <c r="A7" s="311" t="s">
        <v>264</v>
      </c>
      <c r="B7" s="298"/>
      <c r="C7" s="276"/>
      <c r="D7"/>
      <c r="E7"/>
      <c r="F7"/>
      <c r="G7"/>
      <c r="H7"/>
      <c r="I7"/>
      <c r="J7"/>
      <c r="K7"/>
    </row>
    <row r="8" spans="1:11" s="22" customFormat="1" x14ac:dyDescent="0.3">
      <c r="A8" s="71" t="s">
        <v>53</v>
      </c>
      <c r="B8" s="322">
        <f>('1'!E$6*'1'!E10)/1000000</f>
        <v>275</v>
      </c>
      <c r="C8" s="321">
        <f>('1'!K$6*'1'!K10)/1000000</f>
        <v>120</v>
      </c>
      <c r="D8"/>
      <c r="E8"/>
      <c r="F8"/>
      <c r="G8"/>
      <c r="I8"/>
      <c r="J8"/>
      <c r="K8"/>
    </row>
    <row r="9" spans="1:11" x14ac:dyDescent="0.3">
      <c r="A9" s="71" t="s">
        <v>71</v>
      </c>
      <c r="B9" s="322">
        <f>('1'!E$6*'1'!E11)/1000000</f>
        <v>1250</v>
      </c>
      <c r="C9" s="321">
        <f>('1'!K$6*'1'!K11)/1000000</f>
        <v>225</v>
      </c>
    </row>
    <row r="10" spans="1:11" x14ac:dyDescent="0.3">
      <c r="A10" s="71" t="s">
        <v>72</v>
      </c>
      <c r="B10" s="322">
        <f>('1'!E$6*'1'!E12)/1000000</f>
        <v>930</v>
      </c>
      <c r="C10" s="321">
        <f>('1'!K$6*'1'!K12)/1000000</f>
        <v>465</v>
      </c>
    </row>
    <row r="11" spans="1:11" x14ac:dyDescent="0.3">
      <c r="A11" s="71" t="s">
        <v>54</v>
      </c>
      <c r="B11" s="182">
        <f>('1'!E$6*'1'!E13)/1000000</f>
        <v>762.5</v>
      </c>
      <c r="C11" s="326">
        <f>('1'!K$6*'1'!K13)/1000000</f>
        <v>697.5</v>
      </c>
    </row>
    <row r="12" spans="1:11" x14ac:dyDescent="0.3">
      <c r="A12" s="311" t="s">
        <v>55</v>
      </c>
      <c r="B12" s="324">
        <f>('1'!E$6*'1'!E14)/1000000</f>
        <v>960</v>
      </c>
      <c r="C12" s="325">
        <f>('1'!K$6*'1'!K14)/1000000</f>
        <v>720</v>
      </c>
    </row>
    <row r="13" spans="1:11" x14ac:dyDescent="0.3">
      <c r="A13" s="71" t="s">
        <v>33</v>
      </c>
      <c r="B13" s="322">
        <f>('1'!E$6*'1'!E15)/1000000</f>
        <v>4177.5</v>
      </c>
      <c r="C13" s="321">
        <f>('1'!K$6*'1'!K15)/1000000</f>
        <v>2227.5</v>
      </c>
    </row>
    <row r="14" spans="1:11" x14ac:dyDescent="0.3">
      <c r="A14" s="71"/>
      <c r="B14" s="298"/>
      <c r="C14" s="276"/>
    </row>
    <row r="15" spans="1:11" x14ac:dyDescent="0.3">
      <c r="A15" s="312" t="s">
        <v>269</v>
      </c>
      <c r="B15" s="298"/>
      <c r="C15" s="276"/>
    </row>
    <row r="16" spans="1:11" x14ac:dyDescent="0.3">
      <c r="A16" s="311" t="s">
        <v>264</v>
      </c>
      <c r="B16" s="298"/>
      <c r="C16" s="276"/>
    </row>
    <row r="17" spans="1:4" x14ac:dyDescent="0.3">
      <c r="A17" s="71" t="s">
        <v>29</v>
      </c>
      <c r="B17" s="322">
        <f>('1'!E$6*'1'!E19)/1000000</f>
        <v>1250</v>
      </c>
      <c r="C17" s="321">
        <f>('1'!K$6*'1'!K19)/1000000</f>
        <v>1875</v>
      </c>
    </row>
    <row r="18" spans="1:4" x14ac:dyDescent="0.3">
      <c r="A18" s="71" t="s">
        <v>30</v>
      </c>
      <c r="B18" s="322">
        <f>('1'!E$6*'1'!E20)/1000000</f>
        <v>600</v>
      </c>
      <c r="C18" s="321">
        <f>('1'!K$6*'1'!K20)/1000000</f>
        <v>900</v>
      </c>
    </row>
    <row r="19" spans="1:4" x14ac:dyDescent="0.3">
      <c r="A19" s="311" t="s">
        <v>31</v>
      </c>
      <c r="B19" s="324">
        <f>('1'!E$6*'1'!E21)/1000000</f>
        <v>300</v>
      </c>
      <c r="C19" s="325">
        <f>('1'!K$6*'1'!K21)/1000000</f>
        <v>375</v>
      </c>
    </row>
    <row r="20" spans="1:4" x14ac:dyDescent="0.3">
      <c r="A20" s="71" t="s">
        <v>69</v>
      </c>
      <c r="B20" s="322">
        <f>('1'!E$6*'1'!E22)/1000000</f>
        <v>2150</v>
      </c>
      <c r="C20" s="321">
        <f>('1'!K$6*'1'!K22)/1000000</f>
        <v>3150</v>
      </c>
    </row>
    <row r="21" spans="1:4" x14ac:dyDescent="0.3">
      <c r="A21" s="71"/>
      <c r="B21" s="298"/>
      <c r="C21" s="276"/>
    </row>
    <row r="22" spans="1:4" x14ac:dyDescent="0.3">
      <c r="A22" s="71" t="s">
        <v>289</v>
      </c>
      <c r="B22" s="327">
        <f>(B13+B20)/1000</f>
        <v>6.3274999999999997</v>
      </c>
      <c r="C22" s="327">
        <f>(C13+C20)/1000</f>
        <v>5.3775000000000004</v>
      </c>
    </row>
    <row r="23" spans="1:4" x14ac:dyDescent="0.3">
      <c r="A23" s="72" t="s">
        <v>290</v>
      </c>
      <c r="B23" s="389">
        <f>B22+C22</f>
        <v>11.705</v>
      </c>
      <c r="C23" s="390"/>
    </row>
    <row r="25" spans="1:4" x14ac:dyDescent="0.3">
      <c r="A25" t="s">
        <v>73</v>
      </c>
      <c r="C25" s="15">
        <f>SUM('2'!B22:C22)/'3'!H11</f>
        <v>2.0111683848797249E-2</v>
      </c>
    </row>
    <row r="26" spans="1:4" x14ac:dyDescent="0.3">
      <c r="A26" s="22"/>
      <c r="B26" s="22"/>
      <c r="C26" s="22"/>
      <c r="D26" s="22"/>
    </row>
  </sheetData>
  <mergeCells count="2">
    <mergeCell ref="B23:C23"/>
    <mergeCell ref="A3:C3"/>
  </mergeCells>
  <hyperlinks>
    <hyperlink ref="B1" location="Index!A1" display="Back to Index"/>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16"/>
  <sheetViews>
    <sheetView zoomScale="90" zoomScaleNormal="90" workbookViewId="0">
      <selection activeCell="H20" sqref="H20"/>
    </sheetView>
  </sheetViews>
  <sheetFormatPr defaultRowHeight="14.4" x14ac:dyDescent="0.3"/>
  <cols>
    <col min="1" max="1" width="4.44140625" customWidth="1"/>
    <col min="2" max="2" width="35.33203125" customWidth="1"/>
    <col min="3" max="3" width="9.88671875" customWidth="1"/>
    <col min="4" max="8" width="10" customWidth="1"/>
    <col min="9" max="9" width="10.109375" customWidth="1"/>
    <col min="10" max="10" width="9.109375" customWidth="1"/>
  </cols>
  <sheetData>
    <row r="1" spans="1:11" x14ac:dyDescent="0.3">
      <c r="A1" s="1" t="s">
        <v>52</v>
      </c>
      <c r="C1" s="59" t="s">
        <v>59</v>
      </c>
    </row>
    <row r="2" spans="1:11" x14ac:dyDescent="0.3">
      <c r="A2" s="1"/>
      <c r="C2" s="59"/>
    </row>
    <row r="3" spans="1:11" x14ac:dyDescent="0.3">
      <c r="A3" s="20" t="s">
        <v>291</v>
      </c>
    </row>
    <row r="4" spans="1:11" x14ac:dyDescent="0.3">
      <c r="A4" s="1"/>
      <c r="B4" t="s">
        <v>8</v>
      </c>
      <c r="C4" s="27">
        <v>2004</v>
      </c>
      <c r="D4" s="27">
        <v>2005</v>
      </c>
      <c r="E4" s="27">
        <v>2006</v>
      </c>
      <c r="F4" s="27">
        <v>2007</v>
      </c>
      <c r="G4" s="27">
        <v>2008</v>
      </c>
      <c r="H4" s="27">
        <v>2009</v>
      </c>
      <c r="I4" s="22"/>
      <c r="J4" s="22"/>
      <c r="K4" s="22"/>
    </row>
    <row r="5" spans="1:11" x14ac:dyDescent="0.3">
      <c r="A5" t="s">
        <v>10</v>
      </c>
      <c r="I5" s="15"/>
      <c r="K5" s="18"/>
    </row>
    <row r="6" spans="1:11" x14ac:dyDescent="0.3">
      <c r="B6" t="s">
        <v>11</v>
      </c>
      <c r="C6">
        <v>118.3</v>
      </c>
      <c r="D6">
        <v>102</v>
      </c>
      <c r="E6">
        <v>93.1</v>
      </c>
      <c r="F6">
        <v>116.2</v>
      </c>
      <c r="G6">
        <v>132.1</v>
      </c>
      <c r="H6" s="28">
        <v>110.4</v>
      </c>
    </row>
    <row r="7" spans="1:11" x14ac:dyDescent="0.3">
      <c r="A7" t="s">
        <v>12</v>
      </c>
      <c r="I7" s="15"/>
    </row>
    <row r="8" spans="1:11" x14ac:dyDescent="0.3">
      <c r="B8" t="s">
        <v>39</v>
      </c>
      <c r="C8">
        <v>168.9</v>
      </c>
      <c r="D8">
        <v>172.1</v>
      </c>
      <c r="E8">
        <v>181.4</v>
      </c>
      <c r="F8">
        <v>184.8</v>
      </c>
      <c r="G8">
        <v>189.5</v>
      </c>
      <c r="H8">
        <v>183.3</v>
      </c>
    </row>
    <row r="9" spans="1:11" x14ac:dyDescent="0.3">
      <c r="A9" t="s">
        <v>13</v>
      </c>
      <c r="I9" s="328" t="s">
        <v>80</v>
      </c>
    </row>
    <row r="10" spans="1:11" x14ac:dyDescent="0.3">
      <c r="A10" s="17"/>
      <c r="B10" s="17" t="s">
        <v>40</v>
      </c>
      <c r="C10" s="17">
        <v>242.8</v>
      </c>
      <c r="D10" s="17">
        <v>255.6</v>
      </c>
      <c r="E10" s="17">
        <v>271.10000000000002</v>
      </c>
      <c r="F10" s="17">
        <v>284.60000000000002</v>
      </c>
      <c r="G10" s="17">
        <v>288.3</v>
      </c>
      <c r="H10" s="17">
        <v>288.3</v>
      </c>
      <c r="I10" s="329" t="s">
        <v>272</v>
      </c>
    </row>
    <row r="11" spans="1:11" x14ac:dyDescent="0.3">
      <c r="A11" t="s">
        <v>25</v>
      </c>
      <c r="C11" s="10">
        <f t="shared" ref="C11:H11" si="0">C6+C8+C10</f>
        <v>530</v>
      </c>
      <c r="D11" s="10">
        <f t="shared" si="0"/>
        <v>529.70000000000005</v>
      </c>
      <c r="E11" s="10">
        <f t="shared" si="0"/>
        <v>545.6</v>
      </c>
      <c r="F11" s="10">
        <f t="shared" si="0"/>
        <v>585.6</v>
      </c>
      <c r="G11" s="10">
        <f t="shared" si="0"/>
        <v>609.90000000000009</v>
      </c>
      <c r="H11" s="10">
        <f t="shared" si="0"/>
        <v>582</v>
      </c>
      <c r="I11" s="330">
        <f>(H11/C11)^(1/5)-1</f>
        <v>1.8894981154428558E-2</v>
      </c>
      <c r="J11" s="10"/>
    </row>
    <row r="13" spans="1:11" x14ac:dyDescent="0.3">
      <c r="A13" t="s">
        <v>9</v>
      </c>
      <c r="C13" s="14">
        <v>11867.8</v>
      </c>
      <c r="D13" s="14">
        <v>12638.4</v>
      </c>
      <c r="E13" s="14">
        <v>13398.9</v>
      </c>
      <c r="F13" s="14">
        <v>14077.6</v>
      </c>
      <c r="G13" s="14">
        <v>14441.4</v>
      </c>
      <c r="H13" s="14">
        <v>14256.3</v>
      </c>
    </row>
    <row r="14" spans="1:11" x14ac:dyDescent="0.3">
      <c r="A14" t="s">
        <v>61</v>
      </c>
      <c r="C14" s="15">
        <f>C11/C13</f>
        <v>4.4658656195756589E-2</v>
      </c>
      <c r="D14" s="15">
        <f t="shared" ref="D14:H14" si="1">D11/D13</f>
        <v>4.1911950879858217E-2</v>
      </c>
      <c r="E14" s="15">
        <f t="shared" si="1"/>
        <v>4.0719760577360833E-2</v>
      </c>
      <c r="F14" s="15">
        <f t="shared" si="1"/>
        <v>4.159799965903279E-2</v>
      </c>
      <c r="G14" s="15">
        <f t="shared" si="1"/>
        <v>4.2232747517553709E-2</v>
      </c>
      <c r="H14" s="15">
        <f t="shared" si="1"/>
        <v>4.0824056732812863E-2</v>
      </c>
    </row>
    <row r="16" spans="1:11" s="20" customFormat="1" x14ac:dyDescent="0.3">
      <c r="A16" s="20" t="s">
        <v>273</v>
      </c>
    </row>
  </sheetData>
  <hyperlinks>
    <hyperlink ref="C1" location="Index!A1" display="Back to 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1"/>
  <sheetViews>
    <sheetView zoomScale="90" zoomScaleNormal="90" workbookViewId="0">
      <selection activeCell="O11" sqref="O11"/>
    </sheetView>
  </sheetViews>
  <sheetFormatPr defaultRowHeight="14.4" x14ac:dyDescent="0.3"/>
  <cols>
    <col min="1" max="1" width="37.109375" customWidth="1"/>
    <col min="2" max="15" width="10.88671875" customWidth="1"/>
  </cols>
  <sheetData>
    <row r="1" spans="1:15" x14ac:dyDescent="0.3">
      <c r="A1" s="1" t="s">
        <v>328</v>
      </c>
      <c r="B1" s="59" t="s">
        <v>59</v>
      </c>
    </row>
    <row r="3" spans="1:15" x14ac:dyDescent="0.3">
      <c r="A3" s="386" t="s">
        <v>74</v>
      </c>
      <c r="B3" s="387"/>
      <c r="C3" s="387"/>
      <c r="D3" s="387"/>
      <c r="E3" s="387"/>
      <c r="F3" s="387"/>
      <c r="G3" s="388"/>
      <c r="H3" s="3"/>
      <c r="I3" s="386" t="s">
        <v>82</v>
      </c>
      <c r="J3" s="387"/>
      <c r="K3" s="387"/>
      <c r="L3" s="387"/>
      <c r="M3" s="387"/>
      <c r="N3" s="387"/>
      <c r="O3" s="388"/>
    </row>
    <row r="4" spans="1:15" x14ac:dyDescent="0.3">
      <c r="A4" s="71"/>
      <c r="B4" s="88"/>
      <c r="C4" s="88"/>
      <c r="D4" s="88"/>
      <c r="E4" s="88"/>
      <c r="F4" s="88"/>
      <c r="G4" s="27" t="s">
        <v>78</v>
      </c>
      <c r="H4" s="3"/>
      <c r="I4" s="71"/>
      <c r="J4" s="22"/>
      <c r="K4" s="22"/>
      <c r="L4" s="22"/>
      <c r="M4" s="22"/>
      <c r="N4" s="22"/>
      <c r="O4" s="27" t="s">
        <v>80</v>
      </c>
    </row>
    <row r="5" spans="1:15" x14ac:dyDescent="0.3">
      <c r="A5" s="102" t="s">
        <v>292</v>
      </c>
      <c r="B5" s="29" t="s">
        <v>7</v>
      </c>
      <c r="C5" s="29" t="s">
        <v>6</v>
      </c>
      <c r="D5" s="29" t="s">
        <v>5</v>
      </c>
      <c r="E5" s="29" t="s">
        <v>4</v>
      </c>
      <c r="F5" s="30" t="s">
        <v>3</v>
      </c>
      <c r="G5" s="93" t="s">
        <v>77</v>
      </c>
      <c r="H5" s="3"/>
      <c r="I5" s="102" t="s">
        <v>83</v>
      </c>
      <c r="J5" s="29" t="s">
        <v>5</v>
      </c>
      <c r="K5" s="29" t="s">
        <v>4</v>
      </c>
      <c r="L5" s="29" t="s">
        <v>3</v>
      </c>
      <c r="M5" s="29" t="s">
        <v>1</v>
      </c>
      <c r="N5" s="29" t="s">
        <v>24</v>
      </c>
      <c r="O5" s="93" t="s">
        <v>79</v>
      </c>
    </row>
    <row r="6" spans="1:15" x14ac:dyDescent="0.3">
      <c r="A6" s="71" t="s">
        <v>14</v>
      </c>
      <c r="B6" s="89">
        <v>34113</v>
      </c>
      <c r="C6" s="89">
        <v>33256</v>
      </c>
      <c r="D6" s="89">
        <v>35858</v>
      </c>
      <c r="E6" s="89">
        <v>41932</v>
      </c>
      <c r="F6" s="89">
        <v>40386</v>
      </c>
      <c r="G6" s="31">
        <f t="shared" ref="G6:G11" si="0">(F6/B6)^(1/5)-1</f>
        <v>3.4337297517609722E-2</v>
      </c>
      <c r="H6" s="3"/>
      <c r="I6" s="71" t="s">
        <v>350</v>
      </c>
      <c r="J6" s="94">
        <v>1.56</v>
      </c>
      <c r="K6" s="94">
        <v>1.22</v>
      </c>
      <c r="L6" s="94">
        <v>2.04</v>
      </c>
      <c r="M6" s="12">
        <v>3.43</v>
      </c>
      <c r="N6" s="12">
        <v>3.79</v>
      </c>
      <c r="O6" s="31">
        <f t="shared" ref="O6:O11" si="1">(N6/J6)^(1/5)-1</f>
        <v>0.1942710981396325</v>
      </c>
    </row>
    <row r="7" spans="1:15" x14ac:dyDescent="0.3">
      <c r="A7" s="71" t="s">
        <v>15</v>
      </c>
      <c r="B7" s="89">
        <v>11712</v>
      </c>
      <c r="C7" s="89">
        <v>12442</v>
      </c>
      <c r="D7" s="89">
        <v>13652</v>
      </c>
      <c r="E7" s="89">
        <v>14691</v>
      </c>
      <c r="F7" s="89">
        <v>14796</v>
      </c>
      <c r="G7" s="32">
        <f t="shared" si="0"/>
        <v>4.7858526878898022E-2</v>
      </c>
      <c r="H7" s="3"/>
      <c r="I7" s="71" t="s">
        <v>351</v>
      </c>
      <c r="J7" s="94">
        <v>1.94</v>
      </c>
      <c r="K7" s="94">
        <v>1.97</v>
      </c>
      <c r="L7" s="94">
        <v>2.3199999999999998</v>
      </c>
      <c r="M7" s="88">
        <v>2.48</v>
      </c>
      <c r="N7" s="88">
        <v>2.7</v>
      </c>
      <c r="O7" s="32">
        <f t="shared" si="1"/>
        <v>6.8347177188151642E-2</v>
      </c>
    </row>
    <row r="8" spans="1:15" x14ac:dyDescent="0.3">
      <c r="A8" s="90" t="s">
        <v>2</v>
      </c>
      <c r="B8" s="89">
        <v>36596</v>
      </c>
      <c r="C8" s="89">
        <v>4401</v>
      </c>
      <c r="D8" s="89">
        <v>69816</v>
      </c>
      <c r="E8" s="89">
        <v>69207</v>
      </c>
      <c r="F8" s="89">
        <v>61682</v>
      </c>
      <c r="G8" s="32">
        <f t="shared" si="0"/>
        <v>0.11005619688466983</v>
      </c>
      <c r="H8" s="3"/>
      <c r="I8" s="71" t="s">
        <v>84</v>
      </c>
      <c r="J8" s="94">
        <v>2.76</v>
      </c>
      <c r="K8" s="94">
        <v>2.62</v>
      </c>
      <c r="L8" s="94">
        <v>3.01</v>
      </c>
      <c r="M8" s="88">
        <v>2.94</v>
      </c>
      <c r="N8" s="88">
        <v>3.31</v>
      </c>
      <c r="O8" s="32">
        <f t="shared" si="1"/>
        <v>3.7012000943363654E-2</v>
      </c>
    </row>
    <row r="9" spans="1:15" x14ac:dyDescent="0.3">
      <c r="A9" s="71" t="s">
        <v>16</v>
      </c>
      <c r="B9" s="89">
        <v>10177</v>
      </c>
      <c r="C9" s="89">
        <v>10906</v>
      </c>
      <c r="D9" s="89">
        <v>11776</v>
      </c>
      <c r="E9" s="89">
        <v>12822</v>
      </c>
      <c r="F9" s="89">
        <v>12575</v>
      </c>
      <c r="G9" s="32">
        <f t="shared" si="0"/>
        <v>4.3224178072737374E-2</v>
      </c>
      <c r="H9" s="3"/>
      <c r="I9" s="71" t="s">
        <v>16</v>
      </c>
      <c r="J9" s="94">
        <v>2.79</v>
      </c>
      <c r="K9" s="94">
        <v>3.01</v>
      </c>
      <c r="L9" s="94">
        <v>3.17</v>
      </c>
      <c r="M9" s="12">
        <v>3.43</v>
      </c>
      <c r="N9" s="12">
        <v>3.79</v>
      </c>
      <c r="O9" s="32">
        <f t="shared" si="1"/>
        <v>6.3180497088264342E-2</v>
      </c>
    </row>
    <row r="10" spans="1:15" x14ac:dyDescent="0.3">
      <c r="A10" s="72" t="s">
        <v>17</v>
      </c>
      <c r="B10" s="7">
        <v>8643</v>
      </c>
      <c r="C10" s="7">
        <v>9001</v>
      </c>
      <c r="D10" s="7">
        <v>9885</v>
      </c>
      <c r="E10" s="7">
        <v>10011</v>
      </c>
      <c r="F10" s="7">
        <v>10494</v>
      </c>
      <c r="G10" s="33">
        <f t="shared" si="0"/>
        <v>3.9573761153155917E-2</v>
      </c>
      <c r="H10" s="3"/>
      <c r="I10" s="72" t="s">
        <v>17</v>
      </c>
      <c r="J10" s="8">
        <v>2.65</v>
      </c>
      <c r="K10" s="8">
        <v>2.95</v>
      </c>
      <c r="L10" s="8">
        <v>2.89</v>
      </c>
      <c r="M10" s="6">
        <v>3.05</v>
      </c>
      <c r="N10" s="6">
        <v>3.31</v>
      </c>
      <c r="O10" s="33">
        <f t="shared" si="1"/>
        <v>4.5481672536876294E-2</v>
      </c>
    </row>
    <row r="11" spans="1:15" x14ac:dyDescent="0.3">
      <c r="A11" s="91" t="s">
        <v>33</v>
      </c>
      <c r="B11" s="7">
        <f>SUM(B6:B10)</f>
        <v>101241</v>
      </c>
      <c r="C11" s="7">
        <f t="shared" ref="C11:F11" si="2">SUM(C6:C10)</f>
        <v>70006</v>
      </c>
      <c r="D11" s="7">
        <f t="shared" si="2"/>
        <v>140987</v>
      </c>
      <c r="E11" s="7">
        <f t="shared" si="2"/>
        <v>148663</v>
      </c>
      <c r="F11" s="7">
        <f t="shared" si="2"/>
        <v>139933</v>
      </c>
      <c r="G11" s="33">
        <f t="shared" si="0"/>
        <v>6.6873047759044235E-2</v>
      </c>
      <c r="H11" s="3"/>
      <c r="I11" s="91" t="s">
        <v>33</v>
      </c>
      <c r="J11" s="6">
        <f>SUM(J6:J10)</f>
        <v>11.700000000000001</v>
      </c>
      <c r="K11" s="6">
        <f t="shared" ref="K11:N11" si="3">SUM(K6:K10)</f>
        <v>11.77</v>
      </c>
      <c r="L11" s="6">
        <f t="shared" si="3"/>
        <v>13.43</v>
      </c>
      <c r="M11" s="6">
        <f t="shared" si="3"/>
        <v>15.329999999999998</v>
      </c>
      <c r="N11" s="6">
        <f t="shared" si="3"/>
        <v>16.899999999999999</v>
      </c>
      <c r="O11" s="92">
        <f t="shared" si="1"/>
        <v>7.6316922514810814E-2</v>
      </c>
    </row>
    <row r="12" spans="1:15" s="20" customFormat="1" x14ac:dyDescent="0.3">
      <c r="A12" s="340" t="s">
        <v>75</v>
      </c>
      <c r="B12" s="341"/>
      <c r="C12" s="341"/>
      <c r="D12" s="341"/>
      <c r="E12" s="341"/>
      <c r="F12" s="341"/>
      <c r="G12" s="342"/>
      <c r="I12" s="343" t="s">
        <v>76</v>
      </c>
    </row>
    <row r="13" spans="1:15" x14ac:dyDescent="0.3">
      <c r="A13" s="3"/>
      <c r="B13" s="3"/>
      <c r="C13" s="3"/>
      <c r="D13" s="3"/>
      <c r="E13" s="3"/>
      <c r="F13" s="3"/>
      <c r="G13" s="4"/>
      <c r="H13" s="3"/>
    </row>
    <row r="14" spans="1:15" x14ac:dyDescent="0.3">
      <c r="B14" s="380" t="s">
        <v>67</v>
      </c>
      <c r="C14" s="381"/>
      <c r="D14" s="381"/>
      <c r="E14" s="385"/>
      <c r="H14" s="3"/>
    </row>
    <row r="15" spans="1:15" x14ac:dyDescent="0.3">
      <c r="B15" s="74" t="s">
        <v>63</v>
      </c>
      <c r="C15" s="75" t="s">
        <v>64</v>
      </c>
      <c r="D15" s="96" t="s">
        <v>65</v>
      </c>
      <c r="E15" s="97" t="s">
        <v>66</v>
      </c>
      <c r="F15" s="71"/>
      <c r="H15" s="3"/>
    </row>
    <row r="16" spans="1:15" x14ac:dyDescent="0.3">
      <c r="A16" t="s">
        <v>81</v>
      </c>
      <c r="B16" s="98">
        <f>C16*(1+Foreward!$AA$12)</f>
        <v>9.1199999999999989E-2</v>
      </c>
      <c r="C16" s="99">
        <v>7.5999999999999998E-2</v>
      </c>
      <c r="D16" s="100">
        <f>C16*(1-Foreward!$AA$13)</f>
        <v>6.4599999999999991E-2</v>
      </c>
      <c r="E16" s="101">
        <f>(N11/J11)^(1/5)-1</f>
        <v>7.6316922514810814E-2</v>
      </c>
    </row>
    <row r="17" spans="1:12" x14ac:dyDescent="0.3">
      <c r="A17" s="95"/>
      <c r="B17" s="363"/>
      <c r="C17" s="363"/>
      <c r="D17" s="363"/>
      <c r="E17" s="88"/>
      <c r="F17" s="3"/>
      <c r="G17" s="55"/>
      <c r="H17" s="3"/>
    </row>
    <row r="18" spans="1:12" x14ac:dyDescent="0.3">
      <c r="A18" s="364" t="s">
        <v>342</v>
      </c>
      <c r="B18" s="69"/>
      <c r="C18" s="69"/>
      <c r="D18" s="69"/>
      <c r="E18" s="6"/>
      <c r="F18" s="3"/>
      <c r="G18" s="55"/>
      <c r="H18" s="3"/>
    </row>
    <row r="19" spans="1:12" x14ac:dyDescent="0.3">
      <c r="A19" s="20" t="s">
        <v>340</v>
      </c>
      <c r="B19" s="27">
        <v>2010</v>
      </c>
      <c r="C19" s="27">
        <v>2011</v>
      </c>
      <c r="D19" s="27">
        <v>2012</v>
      </c>
      <c r="E19" s="27">
        <v>2013</v>
      </c>
      <c r="F19" s="27">
        <v>2014</v>
      </c>
      <c r="G19" s="29">
        <v>2015</v>
      </c>
      <c r="H19" s="27">
        <v>2016</v>
      </c>
      <c r="I19" s="29">
        <v>2017</v>
      </c>
      <c r="J19" s="27">
        <v>2018</v>
      </c>
      <c r="K19" s="29">
        <v>2019</v>
      </c>
      <c r="L19" s="27">
        <v>2020</v>
      </c>
    </row>
    <row r="20" spans="1:12" x14ac:dyDescent="0.3">
      <c r="A20" s="3" t="s">
        <v>26</v>
      </c>
      <c r="B20" s="11">
        <f>'3'!H11*(1+$E16)</f>
        <v>626.41644890361988</v>
      </c>
      <c r="C20" s="11">
        <f t="shared" ref="C20:L20" si="4">B20*(1+$E16)</f>
        <v>674.22262449660036</v>
      </c>
      <c r="D20" s="11">
        <f t="shared" si="4"/>
        <v>725.67722028803985</v>
      </c>
      <c r="E20" s="11">
        <f t="shared" si="4"/>
        <v>781.05867247952551</v>
      </c>
      <c r="F20" s="11">
        <f t="shared" si="4"/>
        <v>840.66666666666652</v>
      </c>
      <c r="G20" s="11">
        <f t="shared" si="4"/>
        <v>904.82375952745076</v>
      </c>
      <c r="H20" s="11">
        <f t="shared" si="4"/>
        <v>973.87712427286704</v>
      </c>
      <c r="I20" s="11">
        <f t="shared" si="4"/>
        <v>1048.2004293049463</v>
      </c>
      <c r="J20" s="11">
        <f t="shared" si="4"/>
        <v>1128.1958602482032</v>
      </c>
      <c r="K20" s="11">
        <f t="shared" si="4"/>
        <v>1214.2962962962956</v>
      </c>
      <c r="L20" s="11">
        <f t="shared" si="4"/>
        <v>1306.9676526507617</v>
      </c>
    </row>
    <row r="21" spans="1:12" x14ac:dyDescent="0.3">
      <c r="A21" t="s">
        <v>341</v>
      </c>
      <c r="B21" s="39">
        <f>('2'!B23)</f>
        <v>11.705</v>
      </c>
      <c r="C21" s="39">
        <f t="shared" ref="C21:L21" si="5">B21*(1+$E16)</f>
        <v>12.59828957803586</v>
      </c>
      <c r="D21" s="39">
        <f t="shared" si="5"/>
        <v>13.559752267581972</v>
      </c>
      <c r="E21" s="39">
        <f t="shared" si="5"/>
        <v>14.594590830707055</v>
      </c>
      <c r="F21" s="39">
        <f t="shared" si="5"/>
        <v>15.708405088269494</v>
      </c>
      <c r="G21" s="39">
        <f t="shared" si="5"/>
        <v>16.907222222222217</v>
      </c>
      <c r="H21" s="39">
        <f t="shared" si="5"/>
        <v>18.197529390496236</v>
      </c>
      <c r="I21" s="39">
        <f t="shared" si="5"/>
        <v>19.586308830951729</v>
      </c>
      <c r="J21" s="39">
        <f t="shared" si="5"/>
        <v>21.081075644354627</v>
      </c>
      <c r="K21" s="39">
        <f t="shared" si="5"/>
        <v>22.689918460833706</v>
      </c>
      <c r="L21" s="39">
        <f t="shared" si="5"/>
        <v>24.421543209876528</v>
      </c>
    </row>
  </sheetData>
  <mergeCells count="3">
    <mergeCell ref="A3:G3"/>
    <mergeCell ref="I3:O3"/>
    <mergeCell ref="B14:E14"/>
  </mergeCells>
  <hyperlinks>
    <hyperlink ref="B1" location="Index!A1" display="Back to Index"/>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35"/>
  <sheetViews>
    <sheetView topLeftCell="A13" zoomScale="90" zoomScaleNormal="90" workbookViewId="0">
      <selection activeCell="G9" sqref="G9"/>
    </sheetView>
  </sheetViews>
  <sheetFormatPr defaultColWidth="29.109375" defaultRowHeight="14.4" x14ac:dyDescent="0.3"/>
  <cols>
    <col min="1" max="1" width="18.6640625" customWidth="1"/>
    <col min="2" max="2" width="19.44140625" customWidth="1"/>
    <col min="3" max="5" width="15.6640625" customWidth="1"/>
    <col min="6" max="6" width="15.44140625" customWidth="1"/>
  </cols>
  <sheetData>
    <row r="1" spans="1:6" x14ac:dyDescent="0.3">
      <c r="A1" s="47" t="s">
        <v>56</v>
      </c>
      <c r="C1" s="56" t="s">
        <v>59</v>
      </c>
    </row>
    <row r="2" spans="1:6" x14ac:dyDescent="0.3">
      <c r="A2" s="47"/>
      <c r="C2" s="56"/>
    </row>
    <row r="3" spans="1:6" x14ac:dyDescent="0.3">
      <c r="A3" s="20" t="s">
        <v>287</v>
      </c>
      <c r="C3" s="380" t="s">
        <v>67</v>
      </c>
      <c r="D3" s="381"/>
      <c r="E3" s="382"/>
    </row>
    <row r="4" spans="1:6" x14ac:dyDescent="0.3">
      <c r="A4" s="47" t="s">
        <v>96</v>
      </c>
      <c r="C4" s="74" t="s">
        <v>63</v>
      </c>
      <c r="D4" s="75" t="s">
        <v>64</v>
      </c>
      <c r="E4" s="76" t="s">
        <v>65</v>
      </c>
      <c r="F4" s="65" t="s">
        <v>66</v>
      </c>
    </row>
    <row r="5" spans="1:6" x14ac:dyDescent="0.3">
      <c r="A5" s="62" t="s">
        <v>32</v>
      </c>
      <c r="C5" s="67">
        <f>D5*(1+Foreward!$AA$12)</f>
        <v>96000</v>
      </c>
      <c r="D5" s="84">
        <v>80000</v>
      </c>
      <c r="E5" s="178">
        <f>D5*(1-Foreward!$AA$13)</f>
        <v>68000</v>
      </c>
      <c r="F5" s="73">
        <v>80000</v>
      </c>
    </row>
    <row r="6" spans="1:6" x14ac:dyDescent="0.3">
      <c r="A6" s="62" t="s">
        <v>41</v>
      </c>
      <c r="C6" s="68">
        <f>D6*(1+Foreward!$AA$12)</f>
        <v>18000</v>
      </c>
      <c r="D6" s="84">
        <v>15000</v>
      </c>
      <c r="E6" s="178">
        <f>D6*(1-Foreward!$AA$13)</f>
        <v>12750</v>
      </c>
      <c r="F6" s="73">
        <v>15000</v>
      </c>
    </row>
    <row r="7" spans="1:6" x14ac:dyDescent="0.3">
      <c r="A7" s="63" t="s">
        <v>366</v>
      </c>
      <c r="C7" s="68"/>
      <c r="D7" s="84"/>
      <c r="E7" s="178"/>
      <c r="F7" s="73"/>
    </row>
    <row r="8" spans="1:6" x14ac:dyDescent="0.3">
      <c r="A8" s="63"/>
      <c r="B8" t="s">
        <v>27</v>
      </c>
      <c r="C8" s="68">
        <f>D8*(1+Foreward!$AA$12)</f>
        <v>3000</v>
      </c>
      <c r="D8" s="84">
        <v>2500</v>
      </c>
      <c r="E8" s="178">
        <f>D8*(1-Foreward!$AA$13)</f>
        <v>2125</v>
      </c>
      <c r="F8" s="73">
        <v>2500</v>
      </c>
    </row>
    <row r="9" spans="1:6" x14ac:dyDescent="0.3">
      <c r="A9" s="63"/>
      <c r="B9" t="s">
        <v>28</v>
      </c>
      <c r="C9" s="68">
        <f>D9*(1+Foreward!$AA$12)</f>
        <v>600</v>
      </c>
      <c r="D9" s="84">
        <v>500</v>
      </c>
      <c r="E9" s="178">
        <f>D9*(1-Foreward!$AA$13)</f>
        <v>425</v>
      </c>
      <c r="F9" s="73">
        <v>500</v>
      </c>
    </row>
    <row r="10" spans="1:6" x14ac:dyDescent="0.3">
      <c r="A10" s="63" t="s">
        <v>43</v>
      </c>
      <c r="C10" s="68"/>
      <c r="D10" s="84"/>
      <c r="E10" s="178"/>
      <c r="F10" s="73"/>
    </row>
    <row r="11" spans="1:6" x14ac:dyDescent="0.3">
      <c r="A11" s="63"/>
      <c r="B11" t="s">
        <v>27</v>
      </c>
      <c r="C11" s="68">
        <f>D11*(1+Foreward!$AA$12)</f>
        <v>18000</v>
      </c>
      <c r="D11" s="84">
        <v>15000</v>
      </c>
      <c r="E11" s="178">
        <f>D11*(1-Foreward!$AA$13)</f>
        <v>12750</v>
      </c>
      <c r="F11" s="73">
        <v>15000</v>
      </c>
    </row>
    <row r="12" spans="1:6" x14ac:dyDescent="0.3">
      <c r="A12" s="63"/>
      <c r="B12" t="s">
        <v>28</v>
      </c>
      <c r="C12" s="68">
        <f>D12*(1+Foreward!$AA$12)</f>
        <v>3600</v>
      </c>
      <c r="D12" s="84">
        <v>3000</v>
      </c>
      <c r="E12" s="178">
        <f>D12*(1-Foreward!$AA$13)</f>
        <v>2550</v>
      </c>
      <c r="F12" s="73">
        <v>2000</v>
      </c>
    </row>
    <row r="13" spans="1:6" x14ac:dyDescent="0.3">
      <c r="A13" s="63" t="s">
        <v>327</v>
      </c>
      <c r="C13" s="68"/>
      <c r="D13" s="84"/>
      <c r="E13" s="178"/>
      <c r="F13" s="73"/>
    </row>
    <row r="14" spans="1:6" x14ac:dyDescent="0.3">
      <c r="A14" s="63"/>
      <c r="B14" t="s">
        <v>27</v>
      </c>
      <c r="C14" s="68">
        <f>D14*(1+Foreward!$AA$12)</f>
        <v>12000</v>
      </c>
      <c r="D14" s="84">
        <v>10000</v>
      </c>
      <c r="E14" s="178">
        <f>D14*(1-Foreward!$AA$13)</f>
        <v>8500</v>
      </c>
      <c r="F14" s="73">
        <v>10000</v>
      </c>
    </row>
    <row r="15" spans="1:6" x14ac:dyDescent="0.3">
      <c r="A15" s="63"/>
      <c r="B15" t="s">
        <v>28</v>
      </c>
      <c r="C15" s="68">
        <f>D15*(1+Foreward!$AA$12)</f>
        <v>3000</v>
      </c>
      <c r="D15" s="84">
        <v>2500</v>
      </c>
      <c r="E15" s="178">
        <f>D15*(1-Foreward!$AA$13)</f>
        <v>2125</v>
      </c>
      <c r="F15" s="73">
        <v>2000</v>
      </c>
    </row>
    <row r="16" spans="1:6" x14ac:dyDescent="0.3">
      <c r="A16" s="63" t="s">
        <v>44</v>
      </c>
      <c r="C16" s="68">
        <f>D16*(1+Foreward!$AA$12)</f>
        <v>18000</v>
      </c>
      <c r="D16" s="84">
        <v>15000</v>
      </c>
      <c r="E16" s="178">
        <f>D16*(1-Foreward!$AA$13)</f>
        <v>12750</v>
      </c>
      <c r="F16" s="73">
        <v>15000</v>
      </c>
    </row>
    <row r="17" spans="1:7" x14ac:dyDescent="0.3">
      <c r="A17" s="63" t="s">
        <v>45</v>
      </c>
      <c r="C17" s="131">
        <f>D17*(1+Foreward!$AA$12)</f>
        <v>18000</v>
      </c>
      <c r="D17" s="104">
        <v>15000</v>
      </c>
      <c r="E17" s="179">
        <f>D17*(1-Foreward!$AA$13)</f>
        <v>12750</v>
      </c>
      <c r="F17" s="105">
        <v>15000</v>
      </c>
      <c r="G17" s="71"/>
    </row>
    <row r="19" spans="1:7" x14ac:dyDescent="0.3">
      <c r="C19" s="380" t="s">
        <v>67</v>
      </c>
      <c r="D19" s="381"/>
      <c r="E19" s="382"/>
    </row>
    <row r="20" spans="1:7" x14ac:dyDescent="0.3">
      <c r="A20" s="1" t="s">
        <v>321</v>
      </c>
      <c r="C20" s="74" t="s">
        <v>63</v>
      </c>
      <c r="D20" s="75" t="s">
        <v>64</v>
      </c>
      <c r="E20" s="76" t="s">
        <v>65</v>
      </c>
      <c r="F20" s="65" t="s">
        <v>66</v>
      </c>
      <c r="G20" s="22"/>
    </row>
    <row r="21" spans="1:7" x14ac:dyDescent="0.3">
      <c r="A21" s="62" t="s">
        <v>32</v>
      </c>
      <c r="C21" s="67">
        <f>D21*(1+Foreward!$AA$12)</f>
        <v>60000</v>
      </c>
      <c r="D21" s="84">
        <v>50000</v>
      </c>
      <c r="E21" s="178">
        <f>D21*(1-Foreward!$AA$13)</f>
        <v>42500</v>
      </c>
      <c r="F21" s="73">
        <v>50000</v>
      </c>
    </row>
    <row r="22" spans="1:7" x14ac:dyDescent="0.3">
      <c r="A22" s="62" t="s">
        <v>41</v>
      </c>
      <c r="C22" s="68">
        <f>D22*(1+Foreward!$AA$12)</f>
        <v>12000</v>
      </c>
      <c r="D22" s="84">
        <v>10000</v>
      </c>
      <c r="E22" s="178">
        <f>D22*(1-Foreward!$AA$13)</f>
        <v>8500</v>
      </c>
      <c r="F22" s="73">
        <v>10000</v>
      </c>
    </row>
    <row r="23" spans="1:7" x14ac:dyDescent="0.3">
      <c r="A23" s="63" t="s">
        <v>366</v>
      </c>
      <c r="C23" s="68"/>
      <c r="D23" s="84"/>
      <c r="E23" s="178"/>
      <c r="F23" s="73"/>
    </row>
    <row r="24" spans="1:7" x14ac:dyDescent="0.3">
      <c r="A24" s="63"/>
      <c r="B24" t="s">
        <v>27</v>
      </c>
      <c r="C24" s="68">
        <f>D24*(1+Foreward!$AA$12)</f>
        <v>2400</v>
      </c>
      <c r="D24" s="84">
        <v>2000</v>
      </c>
      <c r="E24" s="178">
        <f>D24*(1-Foreward!$AA$13)</f>
        <v>1700</v>
      </c>
      <c r="F24" s="73">
        <v>2000</v>
      </c>
    </row>
    <row r="25" spans="1:7" x14ac:dyDescent="0.3">
      <c r="B25" t="s">
        <v>28</v>
      </c>
      <c r="C25" s="68">
        <f>D25*(1+Foreward!$AA$12)</f>
        <v>600</v>
      </c>
      <c r="D25" s="84">
        <v>500</v>
      </c>
      <c r="E25" s="178">
        <f>D25*(1-Foreward!$AA$13)</f>
        <v>425</v>
      </c>
      <c r="F25" s="73">
        <v>500</v>
      </c>
    </row>
    <row r="26" spans="1:7" x14ac:dyDescent="0.3">
      <c r="A26" s="63" t="s">
        <v>43</v>
      </c>
      <c r="C26" s="68"/>
      <c r="D26" s="84"/>
      <c r="E26" s="178"/>
      <c r="F26" s="73"/>
    </row>
    <row r="27" spans="1:7" x14ac:dyDescent="0.3">
      <c r="B27" t="s">
        <v>27</v>
      </c>
      <c r="C27" s="68">
        <f>D27*(1+Foreward!$AA$12)</f>
        <v>12000</v>
      </c>
      <c r="D27" s="84">
        <v>10000</v>
      </c>
      <c r="E27" s="178">
        <f>D27*(1-Foreward!$AA$13)</f>
        <v>8500</v>
      </c>
      <c r="F27" s="73">
        <v>10000</v>
      </c>
    </row>
    <row r="28" spans="1:7" x14ac:dyDescent="0.3">
      <c r="A28" s="63"/>
      <c r="B28" t="s">
        <v>28</v>
      </c>
      <c r="C28" s="68">
        <f>D28*(1+Foreward!$AA$12)</f>
        <v>2400</v>
      </c>
      <c r="D28" s="84">
        <v>2000</v>
      </c>
      <c r="E28" s="178">
        <f>D28*(1-Foreward!$AA$13)</f>
        <v>1700</v>
      </c>
      <c r="F28" s="73">
        <v>2000</v>
      </c>
    </row>
    <row r="29" spans="1:7" x14ac:dyDescent="0.3">
      <c r="A29" s="63" t="s">
        <v>327</v>
      </c>
      <c r="C29" s="68"/>
      <c r="D29" s="84"/>
      <c r="E29" s="178"/>
      <c r="F29" s="73"/>
    </row>
    <row r="30" spans="1:7" x14ac:dyDescent="0.3">
      <c r="B30" t="s">
        <v>27</v>
      </c>
      <c r="C30" s="68">
        <f>D30*(1+Foreward!$AA$12)</f>
        <v>9600</v>
      </c>
      <c r="D30" s="84">
        <v>8000</v>
      </c>
      <c r="E30" s="178">
        <f>D30*(1-Foreward!$AA$13)</f>
        <v>6800</v>
      </c>
      <c r="F30" s="73">
        <v>8000</v>
      </c>
    </row>
    <row r="31" spans="1:7" x14ac:dyDescent="0.3">
      <c r="A31" s="43"/>
      <c r="B31" t="s">
        <v>28</v>
      </c>
      <c r="C31" s="68">
        <f>D31*(1+Foreward!$AA$12)</f>
        <v>2400</v>
      </c>
      <c r="D31" s="84">
        <v>2000</v>
      </c>
      <c r="E31" s="178">
        <f>D31*(1-Foreward!$AA$13)</f>
        <v>1700</v>
      </c>
      <c r="F31" s="73">
        <v>2000</v>
      </c>
    </row>
    <row r="32" spans="1:7" x14ac:dyDescent="0.3">
      <c r="A32" s="63" t="s">
        <v>44</v>
      </c>
      <c r="C32" s="68">
        <f>D32*(1+Foreward!$AA$12)</f>
        <v>12000</v>
      </c>
      <c r="D32" s="84">
        <v>10000</v>
      </c>
      <c r="E32" s="178">
        <f>D32*(1-Foreward!$AA$13)</f>
        <v>8500</v>
      </c>
      <c r="F32" s="73">
        <v>10000</v>
      </c>
    </row>
    <row r="33" spans="1:6" x14ac:dyDescent="0.3">
      <c r="A33" s="63" t="s">
        <v>45</v>
      </c>
      <c r="C33" s="68">
        <f>D33*(1+Foreward!$AA$12)</f>
        <v>12000</v>
      </c>
      <c r="D33" s="104">
        <v>10000</v>
      </c>
      <c r="E33" s="179">
        <f>D33*(1-Foreward!$AA$13)</f>
        <v>8500</v>
      </c>
      <c r="F33" s="105">
        <v>10000</v>
      </c>
    </row>
    <row r="34" spans="1:6" x14ac:dyDescent="0.3">
      <c r="C34" s="79"/>
      <c r="D34" s="133"/>
      <c r="E34" s="106"/>
      <c r="F34" s="103"/>
    </row>
    <row r="35" spans="1:6" x14ac:dyDescent="0.3">
      <c r="C35" s="22"/>
      <c r="D35" s="22"/>
    </row>
  </sheetData>
  <mergeCells count="2">
    <mergeCell ref="C3:E3"/>
    <mergeCell ref="C19:E19"/>
  </mergeCells>
  <hyperlinks>
    <hyperlink ref="C1"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46"/>
  <sheetViews>
    <sheetView zoomScale="90" zoomScaleNormal="90" workbookViewId="0">
      <selection activeCell="B1" sqref="B1"/>
    </sheetView>
  </sheetViews>
  <sheetFormatPr defaultRowHeight="14.4" x14ac:dyDescent="0.3"/>
  <cols>
    <col min="1" max="1" width="36.44140625" customWidth="1"/>
    <col min="2" max="8" width="20.44140625" customWidth="1"/>
    <col min="9" max="10" width="15.88671875" customWidth="1"/>
    <col min="11" max="11" width="15.6640625" customWidth="1"/>
  </cols>
  <sheetData>
    <row r="1" spans="1:6" x14ac:dyDescent="0.3">
      <c r="A1" s="1" t="s">
        <v>317</v>
      </c>
      <c r="B1" s="59" t="s">
        <v>59</v>
      </c>
      <c r="D1" s="56"/>
    </row>
    <row r="3" spans="1:6" x14ac:dyDescent="0.3">
      <c r="A3" s="1" t="s">
        <v>315</v>
      </c>
      <c r="B3" s="380" t="s">
        <v>67</v>
      </c>
      <c r="C3" s="381"/>
      <c r="D3" s="382"/>
      <c r="E3" s="184"/>
      <c r="F3" s="22"/>
    </row>
    <row r="4" spans="1:6" x14ac:dyDescent="0.3">
      <c r="A4" s="26" t="s">
        <v>146</v>
      </c>
      <c r="B4" s="74" t="s">
        <v>63</v>
      </c>
      <c r="C4" s="75" t="s">
        <v>64</v>
      </c>
      <c r="D4" s="76" t="s">
        <v>65</v>
      </c>
      <c r="E4" s="66" t="s">
        <v>66</v>
      </c>
    </row>
    <row r="5" spans="1:6" ht="14.25" customHeight="1" x14ac:dyDescent="0.3">
      <c r="A5" t="s">
        <v>53</v>
      </c>
      <c r="B5" s="146">
        <f>C5*(1+Foreward!$AA$12)</f>
        <v>3.5999999999999997E-2</v>
      </c>
      <c r="C5" s="114">
        <v>0.03</v>
      </c>
      <c r="D5" s="147">
        <f>C5*(1-Foreward!$AA$13)</f>
        <v>2.5499999999999998E-2</v>
      </c>
      <c r="E5" s="122">
        <v>0.03</v>
      </c>
    </row>
    <row r="6" spans="1:6" x14ac:dyDescent="0.3">
      <c r="A6" t="s">
        <v>71</v>
      </c>
      <c r="B6" s="146">
        <f>C6*(1+Foreward!$AA$12)</f>
        <v>0.12</v>
      </c>
      <c r="C6" s="114">
        <v>0.1</v>
      </c>
      <c r="D6" s="147">
        <f>C6*(1-Foreward!$AA$13)</f>
        <v>8.5000000000000006E-2</v>
      </c>
      <c r="E6" s="148">
        <v>0.1</v>
      </c>
    </row>
    <row r="7" spans="1:6" x14ac:dyDescent="0.3">
      <c r="A7" t="s">
        <v>72</v>
      </c>
      <c r="B7" s="146">
        <f>C7*(1+Foreward!$AA$12)</f>
        <v>0.24</v>
      </c>
      <c r="C7" s="114">
        <v>0.2</v>
      </c>
      <c r="D7" s="147">
        <f>C7*(1-Foreward!$AA$13)</f>
        <v>0.17</v>
      </c>
      <c r="E7" s="148">
        <v>0.2</v>
      </c>
    </row>
    <row r="8" spans="1:6" x14ac:dyDescent="0.3">
      <c r="A8" t="s">
        <v>54</v>
      </c>
      <c r="B8" s="146">
        <f>C8*(1+Foreward!$AA$12)</f>
        <v>0.24</v>
      </c>
      <c r="C8" s="114">
        <v>0.2</v>
      </c>
      <c r="D8" s="147">
        <f>C8*(1-Foreward!$AA$13)</f>
        <v>0.17</v>
      </c>
      <c r="E8" s="148">
        <v>0.2</v>
      </c>
    </row>
    <row r="9" spans="1:6" x14ac:dyDescent="0.3">
      <c r="A9" s="26" t="s">
        <v>55</v>
      </c>
      <c r="B9" s="146">
        <f>C9*(1+Foreward!$AA$12)</f>
        <v>0.12</v>
      </c>
      <c r="C9" s="114">
        <v>0.1</v>
      </c>
      <c r="D9" s="147">
        <f>C9*(1-Foreward!$AA$13)</f>
        <v>8.5000000000000006E-2</v>
      </c>
      <c r="E9" s="148">
        <v>0.1</v>
      </c>
    </row>
    <row r="10" spans="1:6" x14ac:dyDescent="0.3">
      <c r="A10" t="s">
        <v>33</v>
      </c>
      <c r="B10" s="149">
        <f>C10*(1+Foreward!$AA$12)</f>
        <v>0.16800000000000001</v>
      </c>
      <c r="C10" s="153">
        <v>0.14000000000000001</v>
      </c>
      <c r="D10" s="150">
        <f>C10*(1-Foreward!$AA$13)</f>
        <v>0.11900000000000001</v>
      </c>
      <c r="E10" s="151">
        <v>0.14000000000000001</v>
      </c>
    </row>
    <row r="12" spans="1:6" x14ac:dyDescent="0.3">
      <c r="A12" s="1" t="s">
        <v>316</v>
      </c>
      <c r="B12" s="380" t="s">
        <v>67</v>
      </c>
      <c r="C12" s="381"/>
      <c r="D12" s="382"/>
      <c r="E12" s="184"/>
    </row>
    <row r="13" spans="1:6" x14ac:dyDescent="0.3">
      <c r="A13" s="26" t="s">
        <v>146</v>
      </c>
      <c r="B13" s="74" t="s">
        <v>63</v>
      </c>
      <c r="C13" s="75" t="s">
        <v>64</v>
      </c>
      <c r="D13" s="76" t="s">
        <v>65</v>
      </c>
      <c r="E13" s="66" t="s">
        <v>66</v>
      </c>
    </row>
    <row r="14" spans="1:6" x14ac:dyDescent="0.3">
      <c r="A14" t="str">
        <f>'1'!A19</f>
        <v>Assessments</v>
      </c>
      <c r="B14" s="146">
        <f>C14*(1+Foreward!$AA$12)</f>
        <v>0.84</v>
      </c>
      <c r="C14" s="114">
        <v>0.7</v>
      </c>
      <c r="D14" s="147">
        <f>C14*(1-Foreward!$AA$13)</f>
        <v>0.59499999999999997</v>
      </c>
      <c r="E14" s="122">
        <v>0.7</v>
      </c>
    </row>
    <row r="15" spans="1:6" x14ac:dyDescent="0.3">
      <c r="A15" t="str">
        <f>'1'!A20</f>
        <v>Audits</v>
      </c>
      <c r="B15" s="146">
        <f>C15*(1+Foreward!$AA$12)</f>
        <v>0.98499999999999988</v>
      </c>
      <c r="C15" s="114">
        <f>(24000-4300)/24000</f>
        <v>0.8208333333333333</v>
      </c>
      <c r="D15" s="147">
        <f>C15*(1-Foreward!$AA$13)</f>
        <v>0.69770833333333326</v>
      </c>
      <c r="E15" s="148">
        <v>0.82</v>
      </c>
    </row>
    <row r="16" spans="1:6" x14ac:dyDescent="0.3">
      <c r="A16" s="26" t="s">
        <v>145</v>
      </c>
      <c r="B16" s="146">
        <f>C16*(1+Foreward!$AA$12)</f>
        <v>0.84</v>
      </c>
      <c r="C16" s="114">
        <v>0.7</v>
      </c>
      <c r="D16" s="147">
        <f>C16*(1-Foreward!$AA$13)</f>
        <v>0.59499999999999997</v>
      </c>
      <c r="E16" s="148">
        <v>0.7</v>
      </c>
    </row>
    <row r="17" spans="1:8" x14ac:dyDescent="0.3">
      <c r="A17" t="s">
        <v>33</v>
      </c>
      <c r="B17" s="149">
        <f>C17*(1+Foreward!$AA$12)</f>
        <v>0.84</v>
      </c>
      <c r="C17" s="153">
        <v>0.7</v>
      </c>
      <c r="D17" s="150">
        <f>C17*(1-Foreward!$AA$13)</f>
        <v>0.59499999999999997</v>
      </c>
      <c r="E17" s="151">
        <v>0.7</v>
      </c>
    </row>
    <row r="19" spans="1:8" x14ac:dyDescent="0.3">
      <c r="A19" s="1" t="str">
        <f>A1</f>
        <v>ROI of Customer Purchases in First Year</v>
      </c>
      <c r="B19" s="380" t="s">
        <v>173</v>
      </c>
      <c r="C19" s="381"/>
      <c r="D19" s="382"/>
      <c r="E19" s="380" t="s">
        <v>142</v>
      </c>
      <c r="F19" s="381"/>
      <c r="G19" s="382"/>
      <c r="H19" s="27" t="s">
        <v>373</v>
      </c>
    </row>
    <row r="20" spans="1:8" x14ac:dyDescent="0.3">
      <c r="A20" s="20" t="s">
        <v>287</v>
      </c>
      <c r="B20" s="185" t="s">
        <v>140</v>
      </c>
      <c r="C20" s="186" t="s">
        <v>141</v>
      </c>
      <c r="D20" s="187" t="s">
        <v>33</v>
      </c>
      <c r="E20" s="185" t="s">
        <v>365</v>
      </c>
      <c r="F20" s="186" t="s">
        <v>274</v>
      </c>
      <c r="G20" s="187" t="s">
        <v>33</v>
      </c>
      <c r="H20" s="197"/>
    </row>
    <row r="21" spans="1:8" x14ac:dyDescent="0.3">
      <c r="A21" s="3" t="s">
        <v>27</v>
      </c>
      <c r="B21" s="188">
        <f>'5'!F5</f>
        <v>80000</v>
      </c>
      <c r="C21" s="103">
        <f>'5'!F21</f>
        <v>50000</v>
      </c>
      <c r="D21" s="189">
        <f>B21+C21</f>
        <v>130000</v>
      </c>
      <c r="E21" s="188">
        <f>'1'!C15</f>
        <v>167100</v>
      </c>
      <c r="F21" s="193">
        <f>E17*'1'!E22</f>
        <v>60199.999999999993</v>
      </c>
      <c r="G21" s="194">
        <f>E21+F21</f>
        <v>227300</v>
      </c>
      <c r="H21" s="32">
        <f>(SUM(E21:F21)/SUM(B21:C21))</f>
        <v>1.7484615384615385</v>
      </c>
    </row>
    <row r="22" spans="1:8" x14ac:dyDescent="0.3">
      <c r="A22" s="62" t="s">
        <v>28</v>
      </c>
      <c r="B22" s="190">
        <f>'5'!F9+'5'!F12+'5'!F15</f>
        <v>4500</v>
      </c>
      <c r="C22" s="191">
        <f>'5'!F25+'5'!F28+'5'!F31</f>
        <v>4500</v>
      </c>
      <c r="D22" s="192">
        <f>B22+C22</f>
        <v>9000</v>
      </c>
      <c r="E22" s="190">
        <f>'1'!I15</f>
        <v>29700</v>
      </c>
      <c r="F22" s="195">
        <f>E17*'1'!I22</f>
        <v>29399.999999999996</v>
      </c>
      <c r="G22" s="196">
        <f>E22+F22</f>
        <v>59100</v>
      </c>
      <c r="H22" s="33">
        <f>SUM(E22:F22)/SUM(B22:C22)</f>
        <v>6.5666666666666664</v>
      </c>
    </row>
    <row r="23" spans="1:8" x14ac:dyDescent="0.3">
      <c r="A23" s="62"/>
      <c r="B23" s="136"/>
      <c r="C23" s="136"/>
      <c r="D23" s="136"/>
    </row>
    <row r="24" spans="1:8" x14ac:dyDescent="0.3">
      <c r="A24" s="62"/>
      <c r="B24" s="136"/>
      <c r="C24" s="136"/>
      <c r="D24" s="136"/>
    </row>
    <row r="25" spans="1:8" x14ac:dyDescent="0.3">
      <c r="A25" s="62"/>
      <c r="B25" s="136"/>
      <c r="C25" s="136"/>
      <c r="D25" s="136"/>
    </row>
    <row r="26" spans="1:8" x14ac:dyDescent="0.3">
      <c r="A26" s="62"/>
      <c r="B26" s="136"/>
      <c r="C26" s="136"/>
      <c r="D26" s="136"/>
    </row>
    <row r="27" spans="1:8" x14ac:dyDescent="0.3">
      <c r="A27" s="62"/>
      <c r="B27" s="136"/>
      <c r="C27" s="136"/>
      <c r="D27" s="136"/>
    </row>
    <row r="28" spans="1:8" x14ac:dyDescent="0.3">
      <c r="A28" s="62"/>
      <c r="B28" s="136"/>
      <c r="C28" s="136"/>
      <c r="D28" s="136"/>
    </row>
    <row r="29" spans="1:8" x14ac:dyDescent="0.3">
      <c r="A29" s="62"/>
      <c r="B29" s="136"/>
      <c r="C29" s="136"/>
      <c r="D29" s="136"/>
    </row>
    <row r="30" spans="1:8" x14ac:dyDescent="0.3">
      <c r="A30" s="62"/>
      <c r="B30" s="136"/>
      <c r="C30" s="136"/>
      <c r="D30" s="136"/>
    </row>
    <row r="31" spans="1:8" x14ac:dyDescent="0.3">
      <c r="A31" s="62"/>
      <c r="B31" s="136"/>
      <c r="C31" s="136"/>
      <c r="D31" s="136"/>
    </row>
    <row r="32" spans="1:8" x14ac:dyDescent="0.3">
      <c r="A32" s="62"/>
      <c r="B32" s="136"/>
      <c r="C32" s="136"/>
      <c r="D32" s="136"/>
    </row>
    <row r="33" spans="1:4" x14ac:dyDescent="0.3">
      <c r="A33" s="62"/>
      <c r="B33" s="136"/>
      <c r="C33" s="136"/>
      <c r="D33" s="136"/>
    </row>
    <row r="34" spans="1:4" x14ac:dyDescent="0.3">
      <c r="A34" s="62"/>
      <c r="B34" s="136"/>
      <c r="C34" s="136"/>
      <c r="D34" s="136"/>
    </row>
    <row r="35" spans="1:4" x14ac:dyDescent="0.3">
      <c r="A35" s="62"/>
      <c r="B35" s="136"/>
      <c r="C35" s="136"/>
      <c r="D35" s="136"/>
    </row>
    <row r="36" spans="1:4" x14ac:dyDescent="0.3">
      <c r="A36" s="63"/>
    </row>
    <row r="37" spans="1:4" x14ac:dyDescent="0.3">
      <c r="A37" s="63"/>
      <c r="B37" s="136"/>
      <c r="C37" s="136"/>
      <c r="D37" s="136"/>
    </row>
    <row r="38" spans="1:4" x14ac:dyDescent="0.3">
      <c r="A38" s="63"/>
      <c r="B38" s="136"/>
      <c r="C38" s="136"/>
      <c r="D38" s="136"/>
    </row>
    <row r="39" spans="1:4" x14ac:dyDescent="0.3">
      <c r="A39" s="63"/>
    </row>
    <row r="40" spans="1:4" x14ac:dyDescent="0.3">
      <c r="A40" s="63"/>
      <c r="B40" s="136"/>
      <c r="C40" s="136"/>
      <c r="D40" s="136"/>
    </row>
    <row r="41" spans="1:4" x14ac:dyDescent="0.3">
      <c r="A41" s="63"/>
      <c r="B41" s="136"/>
      <c r="C41" s="136"/>
      <c r="D41" s="136"/>
    </row>
    <row r="42" spans="1:4" x14ac:dyDescent="0.3">
      <c r="A42" s="63"/>
    </row>
    <row r="43" spans="1:4" x14ac:dyDescent="0.3">
      <c r="A43" s="63"/>
      <c r="B43" s="136"/>
      <c r="C43" s="136"/>
      <c r="D43" s="136"/>
    </row>
    <row r="44" spans="1:4" x14ac:dyDescent="0.3">
      <c r="A44" s="63"/>
      <c r="B44" s="136"/>
      <c r="C44" s="136"/>
      <c r="D44" s="136"/>
    </row>
    <row r="45" spans="1:4" x14ac:dyDescent="0.3">
      <c r="A45" s="63"/>
      <c r="B45" s="136"/>
      <c r="C45" s="136"/>
      <c r="D45" s="136"/>
    </row>
    <row r="46" spans="1:4" x14ac:dyDescent="0.3">
      <c r="A46" s="63"/>
      <c r="B46" s="136"/>
      <c r="C46" s="136"/>
      <c r="D46" s="136"/>
    </row>
  </sheetData>
  <mergeCells count="4">
    <mergeCell ref="B19:D19"/>
    <mergeCell ref="E19:G19"/>
    <mergeCell ref="B3:D3"/>
    <mergeCell ref="B12:D12"/>
  </mergeCells>
  <hyperlinks>
    <hyperlink ref="B1" location="Index!A1" display="Back to Index"/>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vt:lpstr>
      <vt:lpstr>Foreward</vt: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Legrady</dc:creator>
  <cp:lastModifiedBy>USER 1</cp:lastModifiedBy>
  <dcterms:created xsi:type="dcterms:W3CDTF">2010-10-12T13:39:47Z</dcterms:created>
  <dcterms:modified xsi:type="dcterms:W3CDTF">2014-09-04T21:10:51Z</dcterms:modified>
</cp:coreProperties>
</file>